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hidePivotFieldList="1" defaultThemeVersion="124226"/>
  <mc:AlternateContent xmlns:mc="http://schemas.openxmlformats.org/markup-compatibility/2006">
    <mc:Choice Requires="x15">
      <x15ac:absPath xmlns:x15ac="http://schemas.microsoft.com/office/spreadsheetml/2010/11/ac" url="C:\Users\Edson\Documents\Planilhas-Financeiras\"/>
    </mc:Choice>
  </mc:AlternateContent>
  <bookViews>
    <workbookView xWindow="240" yWindow="150" windowWidth="20115" windowHeight="7365"/>
  </bookViews>
  <sheets>
    <sheet name="Instruções" sheetId="6" r:id="rId1"/>
    <sheet name="PlanoDeContas" sheetId="1" r:id="rId2"/>
    <sheet name="Lançamento" sheetId="2" r:id="rId3"/>
    <sheet name="Orçamento" sheetId="3" r:id="rId4"/>
    <sheet name="Painel" sheetId="5" r:id="rId5"/>
  </sheets>
  <definedNames>
    <definedName name="_xlnm._FilterDatabase" localSheetId="3" hidden="1">Orçamento!$A$8:$O$10</definedName>
    <definedName name="lancamentovalor">Lancamento[Valor]</definedName>
  </definedNames>
  <calcPr calcId="171027"/>
  <pivotCaches>
    <pivotCache cacheId="0" r:id="rId6"/>
  </pivotCaches>
</workbook>
</file>

<file path=xl/calcChain.xml><?xml version="1.0" encoding="utf-8"?>
<calcChain xmlns="http://schemas.openxmlformats.org/spreadsheetml/2006/main">
  <c r="D64" i="3" l="1"/>
  <c r="C41" i="1" l="1"/>
  <c r="C34" i="1" l="1"/>
  <c r="B67" i="2"/>
  <c r="A67" i="2" s="1"/>
  <c r="G67" i="2"/>
  <c r="H67" i="2"/>
  <c r="I67" i="2"/>
  <c r="B66" i="2"/>
  <c r="A66" i="2" s="1"/>
  <c r="G66" i="2"/>
  <c r="H66" i="2"/>
  <c r="I66" i="2"/>
  <c r="B65" i="2"/>
  <c r="A65" i="2" s="1"/>
  <c r="G65" i="2"/>
  <c r="H65" i="2"/>
  <c r="I65" i="2"/>
  <c r="B64" i="2"/>
  <c r="A64" i="2" s="1"/>
  <c r="G64" i="2"/>
  <c r="H64" i="2"/>
  <c r="I64" i="2"/>
  <c r="B63" i="2"/>
  <c r="A63" i="2" s="1"/>
  <c r="G63" i="2"/>
  <c r="H63" i="2"/>
  <c r="I63" i="2"/>
  <c r="B62" i="2"/>
  <c r="A62" i="2" s="1"/>
  <c r="G62" i="2"/>
  <c r="H62" i="2"/>
  <c r="I62" i="2"/>
  <c r="B61" i="2"/>
  <c r="A61" i="2" s="1"/>
  <c r="G61" i="2"/>
  <c r="H61" i="2"/>
  <c r="I61" i="2"/>
  <c r="B60" i="2"/>
  <c r="A60" i="2" s="1"/>
  <c r="G60" i="2"/>
  <c r="H60" i="2"/>
  <c r="I60" i="2"/>
  <c r="B59" i="2"/>
  <c r="A59" i="2" s="1"/>
  <c r="G59" i="2"/>
  <c r="H59" i="2"/>
  <c r="I59" i="2"/>
  <c r="B58" i="2"/>
  <c r="A58" i="2" s="1"/>
  <c r="G58" i="2"/>
  <c r="H58" i="2"/>
  <c r="I58" i="2"/>
  <c r="A10" i="3" l="1"/>
  <c r="G57" i="2" l="1"/>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 r="G3" i="2"/>
  <c r="G2" i="2"/>
  <c r="H2" i="2"/>
  <c r="H3" i="2"/>
  <c r="H4"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B57" i="2" l="1"/>
  <c r="A57" i="2" s="1"/>
  <c r="I57" i="2"/>
  <c r="C2" i="3" l="1"/>
  <c r="B6" i="3"/>
  <c r="I2" i="2"/>
  <c r="I3" i="2"/>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2" i="2"/>
  <c r="B61" i="3" l="1"/>
  <c r="B12" i="3"/>
  <c r="B13" i="3"/>
  <c r="B14" i="3"/>
  <c r="B15" i="3"/>
  <c r="B16" i="3"/>
  <c r="B17" i="3"/>
  <c r="B18" i="3"/>
  <c r="B19" i="3"/>
  <c r="B20" i="3"/>
  <c r="B21" i="3"/>
  <c r="B22" i="3"/>
  <c r="B23" i="3"/>
  <c r="B24" i="3"/>
  <c r="B25" i="3"/>
  <c r="B26" i="3"/>
  <c r="B27" i="3"/>
  <c r="B28" i="3"/>
  <c r="B29"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N2" i="3"/>
  <c r="B4" i="3"/>
  <c r="B5" i="3"/>
  <c r="B7" i="3"/>
  <c r="B11" i="3"/>
  <c r="D2" i="3"/>
  <c r="E2" i="3"/>
  <c r="F2" i="3"/>
  <c r="G2" i="3"/>
  <c r="H2" i="3"/>
  <c r="I2" i="3"/>
  <c r="J2" i="3"/>
  <c r="K2" i="3"/>
  <c r="L2" i="3"/>
  <c r="M2" i="3"/>
  <c r="N10" i="3" l="1"/>
  <c r="B3" i="3"/>
  <c r="B8" i="3" s="1"/>
  <c r="N64" i="3" l="1"/>
  <c r="B30" i="3"/>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1" i="2"/>
  <c r="A22" i="2"/>
  <c r="A23" i="2"/>
  <c r="A24" i="2"/>
  <c r="A25" i="2"/>
  <c r="A20" i="2"/>
  <c r="O10" i="3"/>
  <c r="M10" i="3"/>
  <c r="L10" i="3"/>
  <c r="K10" i="3"/>
  <c r="J10" i="3"/>
  <c r="I10" i="3"/>
  <c r="H10" i="3"/>
  <c r="G10" i="3"/>
  <c r="F10" i="3"/>
  <c r="E10" i="3"/>
  <c r="D10" i="3"/>
  <c r="C10" i="3"/>
  <c r="C64" i="3" l="1"/>
  <c r="K64" i="3"/>
  <c r="E64" i="3"/>
  <c r="I64" i="3"/>
  <c r="M64" i="3"/>
  <c r="F64" i="3"/>
  <c r="J64" i="3"/>
  <c r="O64" i="3"/>
  <c r="G64" i="3"/>
  <c r="H64" i="3"/>
  <c r="L64" i="3"/>
  <c r="C58" i="1"/>
  <c r="A19" i="2"/>
  <c r="A2" i="2"/>
  <c r="A3" i="2"/>
  <c r="A4" i="2"/>
  <c r="A5" i="2"/>
  <c r="A6" i="2"/>
  <c r="A7" i="2"/>
  <c r="A8" i="2"/>
  <c r="A9" i="2"/>
  <c r="A10" i="2"/>
  <c r="A11" i="2"/>
  <c r="A12" i="2"/>
  <c r="A13" i="2"/>
  <c r="A14" i="2"/>
  <c r="A15" i="2"/>
  <c r="A16" i="2"/>
  <c r="A17" i="2"/>
  <c r="A18" i="2"/>
  <c r="N49" i="3" l="1"/>
  <c r="N45" i="3"/>
  <c r="N41" i="3"/>
  <c r="N37" i="3"/>
  <c r="N33" i="3"/>
  <c r="N28" i="3"/>
  <c r="N24" i="3"/>
  <c r="N20" i="3"/>
  <c r="E32" i="3"/>
  <c r="C15" i="3"/>
  <c r="C32" i="3"/>
  <c r="C16" i="3"/>
  <c r="N52" i="3"/>
  <c r="N48" i="3"/>
  <c r="N44" i="3"/>
  <c r="N40" i="3"/>
  <c r="N36" i="3"/>
  <c r="N31" i="3"/>
  <c r="N27" i="3"/>
  <c r="N23" i="3"/>
  <c r="N19" i="3"/>
  <c r="D32" i="3"/>
  <c r="N51" i="3"/>
  <c r="N47" i="3"/>
  <c r="N43" i="3"/>
  <c r="N39" i="3"/>
  <c r="N35" i="3"/>
  <c r="N30" i="3"/>
  <c r="N26" i="3"/>
  <c r="N22" i="3"/>
  <c r="M12" i="3"/>
  <c r="C12" i="3"/>
  <c r="C17" i="3"/>
  <c r="C3" i="3"/>
  <c r="N50" i="3"/>
  <c r="N46" i="3"/>
  <c r="N42" i="3"/>
  <c r="N38" i="3"/>
  <c r="N34" i="3"/>
  <c r="N29" i="3"/>
  <c r="N25" i="3"/>
  <c r="N21" i="3"/>
  <c r="F32" i="3"/>
  <c r="C14" i="3"/>
  <c r="C18" i="3"/>
  <c r="C11" i="3"/>
  <c r="H11" i="3"/>
  <c r="L11" i="3"/>
  <c r="N61" i="3"/>
  <c r="N15" i="3"/>
  <c r="N16" i="3"/>
  <c r="N58" i="3"/>
  <c r="N13" i="3"/>
  <c r="M49" i="3"/>
  <c r="M33" i="3"/>
  <c r="M17" i="3"/>
  <c r="M35" i="3"/>
  <c r="M52" i="3"/>
  <c r="M36" i="3"/>
  <c r="M20" i="3"/>
  <c r="M19" i="3"/>
  <c r="M46" i="3"/>
  <c r="M30" i="3"/>
  <c r="M14" i="3"/>
  <c r="M27" i="3"/>
  <c r="L53" i="3"/>
  <c r="L37" i="3"/>
  <c r="L21" i="3"/>
  <c r="L43" i="3"/>
  <c r="L56" i="3"/>
  <c r="L40" i="3"/>
  <c r="L24" i="3"/>
  <c r="L55" i="3"/>
  <c r="L58" i="3"/>
  <c r="L42" i="3"/>
  <c r="L26" i="3"/>
  <c r="L59" i="3"/>
  <c r="K61" i="3"/>
  <c r="K45" i="3"/>
  <c r="K29" i="3"/>
  <c r="K13" i="3"/>
  <c r="K48" i="3"/>
  <c r="K32" i="3"/>
  <c r="K16" i="3"/>
  <c r="K51" i="3"/>
  <c r="K35" i="3"/>
  <c r="K19" i="3"/>
  <c r="K50" i="3"/>
  <c r="K34" i="3"/>
  <c r="K18" i="3"/>
  <c r="J53" i="3"/>
  <c r="J37" i="3"/>
  <c r="J21" i="3"/>
  <c r="J56" i="3"/>
  <c r="J40" i="3"/>
  <c r="J24" i="3"/>
  <c r="J59" i="3"/>
  <c r="J43" i="3"/>
  <c r="J27" i="3"/>
  <c r="J58" i="3"/>
  <c r="J42" i="3"/>
  <c r="J26" i="3"/>
  <c r="I61" i="3"/>
  <c r="I45" i="3"/>
  <c r="I29" i="3"/>
  <c r="I13" i="3"/>
  <c r="I48" i="3"/>
  <c r="I32" i="3"/>
  <c r="I16" i="3"/>
  <c r="I51" i="3"/>
  <c r="I35" i="3"/>
  <c r="I19" i="3"/>
  <c r="I50" i="3"/>
  <c r="I34" i="3"/>
  <c r="I18" i="3"/>
  <c r="H53" i="3"/>
  <c r="H37" i="3"/>
  <c r="H21" i="3"/>
  <c r="H56" i="3"/>
  <c r="H40" i="3"/>
  <c r="H24" i="3"/>
  <c r="H59" i="3"/>
  <c r="H43" i="3"/>
  <c r="H27" i="3"/>
  <c r="H58" i="3"/>
  <c r="H42" i="3"/>
  <c r="H26" i="3"/>
  <c r="G61" i="3"/>
  <c r="G45" i="3"/>
  <c r="G11" i="3"/>
  <c r="K11" i="3"/>
  <c r="N57" i="3"/>
  <c r="N60" i="3"/>
  <c r="N12" i="3"/>
  <c r="N54" i="3"/>
  <c r="M61" i="3"/>
  <c r="M45" i="3"/>
  <c r="M29" i="3"/>
  <c r="M13" i="3"/>
  <c r="M23" i="3"/>
  <c r="M48" i="3"/>
  <c r="M32" i="3"/>
  <c r="M16" i="3"/>
  <c r="M58" i="3"/>
  <c r="M42" i="3"/>
  <c r="M26" i="3"/>
  <c r="M59" i="3"/>
  <c r="M15" i="3"/>
  <c r="L49" i="3"/>
  <c r="L33" i="3"/>
  <c r="L17" i="3"/>
  <c r="L27" i="3"/>
  <c r="L52" i="3"/>
  <c r="L36" i="3"/>
  <c r="L20" i="3"/>
  <c r="L39" i="3"/>
  <c r="L54" i="3"/>
  <c r="L38" i="3"/>
  <c r="L22" i="3"/>
  <c r="L47" i="3"/>
  <c r="K57" i="3"/>
  <c r="K41" i="3"/>
  <c r="K25" i="3"/>
  <c r="K60" i="3"/>
  <c r="K44" i="3"/>
  <c r="K28" i="3"/>
  <c r="K12" i="3"/>
  <c r="K47" i="3"/>
  <c r="K31" i="3"/>
  <c r="K15" i="3"/>
  <c r="K46" i="3"/>
  <c r="K30" i="3"/>
  <c r="K14" i="3"/>
  <c r="J49" i="3"/>
  <c r="J33" i="3"/>
  <c r="J17" i="3"/>
  <c r="J52" i="3"/>
  <c r="J36" i="3"/>
  <c r="J20" i="3"/>
  <c r="J55" i="3"/>
  <c r="J39" i="3"/>
  <c r="J23" i="3"/>
  <c r="J54" i="3"/>
  <c r="J38" i="3"/>
  <c r="J22" i="3"/>
  <c r="I57" i="3"/>
  <c r="I41" i="3"/>
  <c r="I25" i="3"/>
  <c r="I60" i="3"/>
  <c r="I44" i="3"/>
  <c r="I28" i="3"/>
  <c r="I12" i="3"/>
  <c r="I47" i="3"/>
  <c r="I31" i="3"/>
  <c r="I15" i="3"/>
  <c r="I46" i="3"/>
  <c r="I30" i="3"/>
  <c r="I14" i="3"/>
  <c r="H49" i="3"/>
  <c r="H33" i="3"/>
  <c r="H17" i="3"/>
  <c r="H52" i="3"/>
  <c r="H36" i="3"/>
  <c r="H20" i="3"/>
  <c r="H55" i="3"/>
  <c r="H39" i="3"/>
  <c r="H23" i="3"/>
  <c r="H54" i="3"/>
  <c r="H38" i="3"/>
  <c r="H22" i="3"/>
  <c r="G57" i="3"/>
  <c r="G41" i="3"/>
  <c r="G25" i="3"/>
  <c r="J11" i="3"/>
  <c r="N11" i="3"/>
  <c r="N53" i="3"/>
  <c r="N56" i="3"/>
  <c r="N59" i="3"/>
  <c r="N18" i="3"/>
  <c r="M57" i="3"/>
  <c r="M41" i="3"/>
  <c r="M25" i="3"/>
  <c r="M55" i="3"/>
  <c r="M60" i="3"/>
  <c r="M44" i="3"/>
  <c r="M28" i="3"/>
  <c r="M43" i="3"/>
  <c r="M54" i="3"/>
  <c r="M38" i="3"/>
  <c r="M22" i="3"/>
  <c r="M51" i="3"/>
  <c r="L61" i="3"/>
  <c r="L45" i="3"/>
  <c r="L29" i="3"/>
  <c r="L13" i="3"/>
  <c r="L15" i="3"/>
  <c r="L48" i="3"/>
  <c r="L32" i="3"/>
  <c r="L16" i="3"/>
  <c r="L31" i="3"/>
  <c r="L50" i="3"/>
  <c r="L34" i="3"/>
  <c r="L18" i="3"/>
  <c r="L35" i="3"/>
  <c r="K53" i="3"/>
  <c r="K37" i="3"/>
  <c r="K21" i="3"/>
  <c r="K56" i="3"/>
  <c r="K40" i="3"/>
  <c r="K24" i="3"/>
  <c r="K59" i="3"/>
  <c r="K43" i="3"/>
  <c r="K27" i="3"/>
  <c r="K58" i="3"/>
  <c r="K42" i="3"/>
  <c r="K26" i="3"/>
  <c r="J61" i="3"/>
  <c r="J45" i="3"/>
  <c r="J29" i="3"/>
  <c r="J13" i="3"/>
  <c r="J48" i="3"/>
  <c r="J32" i="3"/>
  <c r="J16" i="3"/>
  <c r="J51" i="3"/>
  <c r="J35" i="3"/>
  <c r="J19" i="3"/>
  <c r="J50" i="3"/>
  <c r="J34" i="3"/>
  <c r="J18" i="3"/>
  <c r="I53" i="3"/>
  <c r="I37" i="3"/>
  <c r="I21" i="3"/>
  <c r="I56" i="3"/>
  <c r="I40" i="3"/>
  <c r="I24" i="3"/>
  <c r="I59" i="3"/>
  <c r="I43" i="3"/>
  <c r="I27" i="3"/>
  <c r="I58" i="3"/>
  <c r="I42" i="3"/>
  <c r="I26" i="3"/>
  <c r="H61" i="3"/>
  <c r="H45" i="3"/>
  <c r="H29" i="3"/>
  <c r="H13" i="3"/>
  <c r="H48" i="3"/>
  <c r="H32" i="3"/>
  <c r="H16" i="3"/>
  <c r="H51" i="3"/>
  <c r="H35" i="3"/>
  <c r="H19" i="3"/>
  <c r="H50" i="3"/>
  <c r="H34" i="3"/>
  <c r="H18" i="3"/>
  <c r="G53" i="3"/>
  <c r="G37" i="3"/>
  <c r="G21" i="3"/>
  <c r="I11" i="3"/>
  <c r="M11" i="3"/>
  <c r="N17" i="3"/>
  <c r="N32" i="3"/>
  <c r="N55" i="3"/>
  <c r="N14" i="3"/>
  <c r="M53" i="3"/>
  <c r="M37" i="3"/>
  <c r="M21" i="3"/>
  <c r="M47" i="3"/>
  <c r="M56" i="3"/>
  <c r="M40" i="3"/>
  <c r="M24" i="3"/>
  <c r="M31" i="3"/>
  <c r="M50" i="3"/>
  <c r="M34" i="3"/>
  <c r="M18" i="3"/>
  <c r="M39" i="3"/>
  <c r="L57" i="3"/>
  <c r="L41" i="3"/>
  <c r="L25" i="3"/>
  <c r="L51" i="3"/>
  <c r="L60" i="3"/>
  <c r="L44" i="3"/>
  <c r="L28" i="3"/>
  <c r="L12" i="3"/>
  <c r="L19" i="3"/>
  <c r="L46" i="3"/>
  <c r="L30" i="3"/>
  <c r="L14" i="3"/>
  <c r="L23" i="3"/>
  <c r="K49" i="3"/>
  <c r="K33" i="3"/>
  <c r="K17" i="3"/>
  <c r="K52" i="3"/>
  <c r="K36" i="3"/>
  <c r="K20" i="3"/>
  <c r="K55" i="3"/>
  <c r="K39" i="3"/>
  <c r="K23" i="3"/>
  <c r="K54" i="3"/>
  <c r="K38" i="3"/>
  <c r="K22" i="3"/>
  <c r="J57" i="3"/>
  <c r="J41" i="3"/>
  <c r="J25" i="3"/>
  <c r="J60" i="3"/>
  <c r="J44" i="3"/>
  <c r="J28" i="3"/>
  <c r="J12" i="3"/>
  <c r="J47" i="3"/>
  <c r="J31" i="3"/>
  <c r="J15" i="3"/>
  <c r="J46" i="3"/>
  <c r="J30" i="3"/>
  <c r="J14" i="3"/>
  <c r="I49" i="3"/>
  <c r="I33" i="3"/>
  <c r="I17" i="3"/>
  <c r="I52" i="3"/>
  <c r="I36" i="3"/>
  <c r="I20" i="3"/>
  <c r="I55" i="3"/>
  <c r="I39" i="3"/>
  <c r="I23" i="3"/>
  <c r="I54" i="3"/>
  <c r="I38" i="3"/>
  <c r="I22" i="3"/>
  <c r="H57" i="3"/>
  <c r="H41" i="3"/>
  <c r="H25" i="3"/>
  <c r="H60" i="3"/>
  <c r="H44" i="3"/>
  <c r="H28" i="3"/>
  <c r="H12" i="3"/>
  <c r="H47" i="3"/>
  <c r="H31" i="3"/>
  <c r="H15" i="3"/>
  <c r="H46" i="3"/>
  <c r="H30" i="3"/>
  <c r="H14" i="3"/>
  <c r="G49" i="3"/>
  <c r="G33" i="3"/>
  <c r="G17" i="3"/>
  <c r="G52" i="3"/>
  <c r="G29" i="3"/>
  <c r="G48" i="3"/>
  <c r="G32" i="3"/>
  <c r="G16" i="3"/>
  <c r="G51" i="3"/>
  <c r="G35" i="3"/>
  <c r="G19" i="3"/>
  <c r="G50" i="3"/>
  <c r="G34" i="3"/>
  <c r="G18" i="3"/>
  <c r="F53" i="3"/>
  <c r="F37" i="3"/>
  <c r="F21" i="3"/>
  <c r="F56" i="3"/>
  <c r="F40" i="3"/>
  <c r="F20" i="3"/>
  <c r="F51" i="3"/>
  <c r="F35" i="3"/>
  <c r="F19" i="3"/>
  <c r="F54" i="3"/>
  <c r="F38" i="3"/>
  <c r="F22" i="3"/>
  <c r="E61" i="3"/>
  <c r="E45" i="3"/>
  <c r="E29" i="3"/>
  <c r="E13" i="3"/>
  <c r="E18" i="3"/>
  <c r="E48" i="3"/>
  <c r="E28" i="3"/>
  <c r="E12" i="3"/>
  <c r="E14" i="3"/>
  <c r="E47" i="3"/>
  <c r="E31" i="3"/>
  <c r="E15" i="3"/>
  <c r="E34" i="3"/>
  <c r="D53" i="3"/>
  <c r="D37" i="3"/>
  <c r="D21" i="3"/>
  <c r="D50" i="3"/>
  <c r="D56" i="3"/>
  <c r="D40" i="3"/>
  <c r="D20" i="3"/>
  <c r="D30" i="3"/>
  <c r="D51" i="3"/>
  <c r="D35" i="3"/>
  <c r="D19" i="3"/>
  <c r="D42" i="3"/>
  <c r="C20" i="3"/>
  <c r="C40" i="3"/>
  <c r="C13" i="3"/>
  <c r="C33" i="3"/>
  <c r="C49" i="3"/>
  <c r="C22" i="3"/>
  <c r="C38" i="3"/>
  <c r="C54" i="3"/>
  <c r="C23" i="3"/>
  <c r="C39" i="3"/>
  <c r="C55" i="3"/>
  <c r="G5" i="3"/>
  <c r="D7" i="3"/>
  <c r="L6" i="3"/>
  <c r="F5" i="3"/>
  <c r="J3" i="3"/>
  <c r="M7" i="3"/>
  <c r="M5" i="3"/>
  <c r="M3" i="3"/>
  <c r="M6" i="3"/>
  <c r="N6" i="3"/>
  <c r="H5" i="3"/>
  <c r="L3" i="3"/>
  <c r="I4" i="3"/>
  <c r="D3" i="3"/>
  <c r="C4" i="3"/>
  <c r="G13" i="3"/>
  <c r="G44" i="3"/>
  <c r="G28" i="3"/>
  <c r="G12" i="3"/>
  <c r="G47" i="3"/>
  <c r="G31" i="3"/>
  <c r="G15" i="3"/>
  <c r="G46" i="3"/>
  <c r="G30" i="3"/>
  <c r="G14" i="3"/>
  <c r="F49" i="3"/>
  <c r="F33" i="3"/>
  <c r="F17" i="3"/>
  <c r="F52" i="3"/>
  <c r="F36" i="3"/>
  <c r="F12" i="3"/>
  <c r="F47" i="3"/>
  <c r="F31" i="3"/>
  <c r="F15" i="3"/>
  <c r="F50" i="3"/>
  <c r="F34" i="3"/>
  <c r="F18" i="3"/>
  <c r="E57" i="3"/>
  <c r="E41" i="3"/>
  <c r="E25" i="3"/>
  <c r="E54" i="3"/>
  <c r="E60" i="3"/>
  <c r="E44" i="3"/>
  <c r="E24" i="3"/>
  <c r="E50" i="3"/>
  <c r="E59" i="3"/>
  <c r="E43" i="3"/>
  <c r="E27" i="3"/>
  <c r="E11" i="3"/>
  <c r="E22" i="3"/>
  <c r="D49" i="3"/>
  <c r="D33" i="3"/>
  <c r="D17" i="3"/>
  <c r="D38" i="3"/>
  <c r="D52" i="3"/>
  <c r="D36" i="3"/>
  <c r="D16" i="3"/>
  <c r="D22" i="3"/>
  <c r="D47" i="3"/>
  <c r="D31" i="3"/>
  <c r="D15" i="3"/>
  <c r="D34" i="3"/>
  <c r="C24" i="3"/>
  <c r="C44" i="3"/>
  <c r="C21" i="3"/>
  <c r="C37" i="3"/>
  <c r="C53" i="3"/>
  <c r="C26" i="3"/>
  <c r="C42" i="3"/>
  <c r="C58" i="3"/>
  <c r="C27" i="3"/>
  <c r="C43" i="3"/>
  <c r="C59" i="3"/>
  <c r="G6" i="3"/>
  <c r="N7" i="3"/>
  <c r="H6" i="3"/>
  <c r="L4" i="3"/>
  <c r="F3" i="3"/>
  <c r="I7" i="3"/>
  <c r="I5" i="3"/>
  <c r="I3" i="3"/>
  <c r="E4" i="3"/>
  <c r="J6" i="3"/>
  <c r="N4" i="3"/>
  <c r="H3" i="3"/>
  <c r="K3" i="3"/>
  <c r="D4" i="3"/>
  <c r="C5" i="3"/>
  <c r="G60" i="3"/>
  <c r="G40" i="3"/>
  <c r="G24" i="3"/>
  <c r="G59" i="3"/>
  <c r="G43" i="3"/>
  <c r="G27" i="3"/>
  <c r="G58" i="3"/>
  <c r="G42" i="3"/>
  <c r="G26" i="3"/>
  <c r="F61" i="3"/>
  <c r="F45" i="3"/>
  <c r="F29" i="3"/>
  <c r="F13" i="3"/>
  <c r="F48" i="3"/>
  <c r="F28" i="3"/>
  <c r="F59" i="3"/>
  <c r="F43" i="3"/>
  <c r="F27" i="3"/>
  <c r="F11" i="3"/>
  <c r="F46" i="3"/>
  <c r="F30" i="3"/>
  <c r="F14" i="3"/>
  <c r="E53" i="3"/>
  <c r="E37" i="3"/>
  <c r="E21" i="3"/>
  <c r="E42" i="3"/>
  <c r="E56" i="3"/>
  <c r="E40" i="3"/>
  <c r="E20" i="3"/>
  <c r="E38" i="3"/>
  <c r="E55" i="3"/>
  <c r="E39" i="3"/>
  <c r="E23" i="3"/>
  <c r="E58" i="3"/>
  <c r="D61" i="3"/>
  <c r="D45" i="3"/>
  <c r="D29" i="3"/>
  <c r="D13" i="3"/>
  <c r="D26" i="3"/>
  <c r="D48" i="3"/>
  <c r="D28" i="3"/>
  <c r="D58" i="3"/>
  <c r="D59" i="3"/>
  <c r="D43" i="3"/>
  <c r="D27" i="3"/>
  <c r="D11" i="3"/>
  <c r="D18" i="3"/>
  <c r="C28" i="3"/>
  <c r="C48" i="3"/>
  <c r="C25" i="3"/>
  <c r="C41" i="3"/>
  <c r="C57" i="3"/>
  <c r="C30" i="3"/>
  <c r="C46" i="3"/>
  <c r="C60" i="3"/>
  <c r="C31" i="3"/>
  <c r="C47" i="3"/>
  <c r="C56" i="3"/>
  <c r="G3" i="3"/>
  <c r="J7" i="3"/>
  <c r="N5" i="3"/>
  <c r="H4" i="3"/>
  <c r="E6" i="3"/>
  <c r="E7" i="3"/>
  <c r="E5" i="3"/>
  <c r="E3" i="3"/>
  <c r="L7" i="3"/>
  <c r="F6" i="3"/>
  <c r="J4" i="3"/>
  <c r="I6" i="3"/>
  <c r="D5" i="3"/>
  <c r="C6" i="3"/>
  <c r="G56" i="3"/>
  <c r="G36" i="3"/>
  <c r="G20" i="3"/>
  <c r="G55" i="3"/>
  <c r="G39" i="3"/>
  <c r="G23" i="3"/>
  <c r="G54" i="3"/>
  <c r="G38" i="3"/>
  <c r="G22" i="3"/>
  <c r="F57" i="3"/>
  <c r="F41" i="3"/>
  <c r="F25" i="3"/>
  <c r="F60" i="3"/>
  <c r="F44" i="3"/>
  <c r="F24" i="3"/>
  <c r="F55" i="3"/>
  <c r="F39" i="3"/>
  <c r="F23" i="3"/>
  <c r="F58" i="3"/>
  <c r="F42" i="3"/>
  <c r="F26" i="3"/>
  <c r="F16" i="3"/>
  <c r="E49" i="3"/>
  <c r="E33" i="3"/>
  <c r="E17" i="3"/>
  <c r="E30" i="3"/>
  <c r="E52" i="3"/>
  <c r="E36" i="3"/>
  <c r="E16" i="3"/>
  <c r="E26" i="3"/>
  <c r="E51" i="3"/>
  <c r="E35" i="3"/>
  <c r="E19" i="3"/>
  <c r="E46" i="3"/>
  <c r="D57" i="3"/>
  <c r="D41" i="3"/>
  <c r="D25" i="3"/>
  <c r="D12" i="3"/>
  <c r="D60" i="3"/>
  <c r="D44" i="3"/>
  <c r="D24" i="3"/>
  <c r="D46" i="3"/>
  <c r="D55" i="3"/>
  <c r="D39" i="3"/>
  <c r="D23" i="3"/>
  <c r="D54" i="3"/>
  <c r="D14" i="3"/>
  <c r="C36" i="3"/>
  <c r="C52" i="3"/>
  <c r="C29" i="3"/>
  <c r="C45" i="3"/>
  <c r="C61" i="3"/>
  <c r="C34" i="3"/>
  <c r="C50" i="3"/>
  <c r="C19" i="3"/>
  <c r="C35" i="3"/>
  <c r="C51" i="3"/>
  <c r="G7" i="3"/>
  <c r="G4" i="3"/>
  <c r="F7" i="3"/>
  <c r="J5" i="3"/>
  <c r="N3" i="3"/>
  <c r="M4" i="3"/>
  <c r="K6" i="3"/>
  <c r="K4" i="3"/>
  <c r="K7" i="3"/>
  <c r="H7" i="3"/>
  <c r="L5" i="3"/>
  <c r="F4" i="3"/>
  <c r="K5" i="3"/>
  <c r="D6" i="3"/>
  <c r="C7" i="3"/>
  <c r="N8" i="3"/>
  <c r="N65" i="3" s="1"/>
  <c r="B62" i="3"/>
  <c r="D8" i="3" l="1"/>
  <c r="D65" i="3" s="1"/>
  <c r="O11" i="3"/>
  <c r="N62" i="3"/>
  <c r="N66" i="3" s="1"/>
  <c r="N67" i="3" s="1"/>
  <c r="O44" i="3"/>
  <c r="O50" i="3"/>
  <c r="F8" i="3"/>
  <c r="F65" i="3" s="1"/>
  <c r="O52" i="3"/>
  <c r="O56" i="3"/>
  <c r="O51" i="3"/>
  <c r="O43" i="3"/>
  <c r="O58" i="3"/>
  <c r="O48" i="3"/>
  <c r="O60" i="3"/>
  <c r="O47" i="3"/>
  <c r="O6" i="3"/>
  <c r="O42" i="3"/>
  <c r="O40" i="3"/>
  <c r="O41" i="3"/>
  <c r="O4" i="3"/>
  <c r="O38" i="3"/>
  <c r="O49" i="3"/>
  <c r="O45" i="3"/>
  <c r="O3" i="3"/>
  <c r="O5" i="3"/>
  <c r="O53" i="3"/>
  <c r="O7" i="3"/>
  <c r="O55" i="3"/>
  <c r="O57" i="3"/>
  <c r="O59" i="3"/>
  <c r="O46" i="3"/>
  <c r="O39" i="3"/>
  <c r="O54" i="3"/>
  <c r="K8" i="3"/>
  <c r="K65" i="3" s="1"/>
  <c r="J8" i="3"/>
  <c r="J65" i="3" s="1"/>
  <c r="I8" i="3"/>
  <c r="I65" i="3" s="1"/>
  <c r="E8" i="3"/>
  <c r="E65" i="3" s="1"/>
  <c r="L8" i="3"/>
  <c r="L65" i="3" s="1"/>
  <c r="H8" i="3"/>
  <c r="H65" i="3" s="1"/>
  <c r="M8" i="3"/>
  <c r="M65" i="3" s="1"/>
  <c r="G8" i="3"/>
  <c r="G65" i="3" s="1"/>
  <c r="O19" i="3"/>
  <c r="O12" i="3"/>
  <c r="O37" i="3"/>
  <c r="O24" i="3"/>
  <c r="O14" i="3"/>
  <c r="O26" i="3"/>
  <c r="O35" i="3"/>
  <c r="O30" i="3"/>
  <c r="O23" i="3"/>
  <c r="O27" i="3"/>
  <c r="O32" i="3"/>
  <c r="O31" i="3"/>
  <c r="O17" i="3"/>
  <c r="O61" i="3"/>
  <c r="O20" i="3"/>
  <c r="O16" i="3"/>
  <c r="O25" i="3"/>
  <c r="O34" i="3"/>
  <c r="O13" i="3"/>
  <c r="O18" i="3"/>
  <c r="O22" i="3"/>
  <c r="O15" i="3"/>
  <c r="O28" i="3"/>
  <c r="O33" i="3"/>
  <c r="O21" i="3"/>
  <c r="O36" i="3"/>
  <c r="O29" i="3"/>
  <c r="C8" i="3"/>
  <c r="C65" i="3" s="1"/>
  <c r="D62" i="3"/>
  <c r="C62" i="3"/>
  <c r="C66" i="3" s="1"/>
  <c r="E62" i="3"/>
  <c r="J62" i="3"/>
  <c r="F62" i="3"/>
  <c r="K62" i="3"/>
  <c r="M62" i="3"/>
  <c r="G62" i="3"/>
  <c r="G66" i="3" s="1"/>
  <c r="H62" i="3"/>
  <c r="L62" i="3"/>
  <c r="I62" i="3"/>
  <c r="D66" i="3" l="1"/>
  <c r="D67" i="3" s="1"/>
  <c r="O8" i="3"/>
  <c r="O65" i="3"/>
  <c r="C67" i="3"/>
  <c r="O62" i="3"/>
  <c r="M66" i="3"/>
  <c r="M67" i="3" s="1"/>
  <c r="H66" i="3"/>
  <c r="H67" i="3" s="1"/>
  <c r="F66" i="3"/>
  <c r="F67" i="3" s="1"/>
  <c r="E66" i="3"/>
  <c r="E67" i="3" s="1"/>
  <c r="L66" i="3"/>
  <c r="L67" i="3" s="1"/>
  <c r="K66" i="3"/>
  <c r="K67" i="3" s="1"/>
  <c r="I66" i="3"/>
  <c r="I67" i="3" s="1"/>
  <c r="G67" i="3"/>
  <c r="J66" i="3"/>
  <c r="J67" i="3" s="1"/>
  <c r="C69" i="3" l="1"/>
  <c r="C71" i="3" s="1"/>
  <c r="O66" i="3"/>
  <c r="D68" i="3" l="1"/>
  <c r="D69" i="3" s="1"/>
  <c r="D72" i="3" s="1"/>
  <c r="O67" i="3"/>
  <c r="O69" i="3"/>
  <c r="O71" i="3" s="1"/>
  <c r="C72" i="3"/>
  <c r="E68" i="3" l="1"/>
  <c r="E69" i="3" s="1"/>
  <c r="E72" i="3" s="1"/>
  <c r="D71" i="3"/>
  <c r="E71" i="3" l="1"/>
  <c r="F68" i="3"/>
  <c r="F69" i="3" s="1"/>
  <c r="G68" i="3" s="1"/>
  <c r="G69" i="3" s="1"/>
  <c r="H68" i="3" s="1"/>
  <c r="H69" i="3" s="1"/>
  <c r="H71" i="3" s="1"/>
  <c r="F72" i="3" l="1"/>
  <c r="F71" i="3"/>
  <c r="I68" i="3"/>
  <c r="I69" i="3" s="1"/>
  <c r="I72" i="3" s="1"/>
  <c r="H72" i="3"/>
  <c r="G71" i="3"/>
  <c r="G72" i="3"/>
  <c r="I71" i="3" l="1"/>
  <c r="J68" i="3"/>
  <c r="J69" i="3" s="1"/>
  <c r="K68" i="3" l="1"/>
  <c r="K69" i="3" s="1"/>
  <c r="J72" i="3"/>
  <c r="J71" i="3"/>
  <c r="L68" i="3" l="1"/>
  <c r="L69" i="3" s="1"/>
  <c r="K71" i="3"/>
  <c r="K72" i="3"/>
  <c r="M68" i="3" l="1"/>
  <c r="M69" i="3" s="1"/>
  <c r="L71" i="3"/>
  <c r="L72" i="3"/>
  <c r="N68" i="3" l="1"/>
  <c r="M72" i="3"/>
  <c r="M71" i="3"/>
  <c r="N69" i="3" l="1"/>
  <c r="N72" i="3" s="1"/>
  <c r="N71" i="3" l="1"/>
  <c r="O68" i="3"/>
  <c r="O72" i="3"/>
</calcChain>
</file>

<file path=xl/sharedStrings.xml><?xml version="1.0" encoding="utf-8"?>
<sst xmlns="http://schemas.openxmlformats.org/spreadsheetml/2006/main" count="354" uniqueCount="106">
  <si>
    <t>Moradia</t>
  </si>
  <si>
    <t>Condomínio</t>
  </si>
  <si>
    <t>Lazer</t>
  </si>
  <si>
    <t>Valor</t>
  </si>
  <si>
    <t>Mês/Ano</t>
  </si>
  <si>
    <t>Grupo</t>
  </si>
  <si>
    <t>Tipo Despesa</t>
  </si>
  <si>
    <t>Netflix</t>
  </si>
  <si>
    <t>Programação de Recebimentos</t>
  </si>
  <si>
    <t>Total</t>
  </si>
  <si>
    <t>Programação de Pagamentos</t>
  </si>
  <si>
    <t>TOTAL</t>
  </si>
  <si>
    <t>Resumo</t>
  </si>
  <si>
    <t>(+) Recebimentos</t>
  </si>
  <si>
    <t>(-) Pagamentos</t>
  </si>
  <si>
    <t>=Fluxo Líquido</t>
  </si>
  <si>
    <t>=Saldo Final</t>
  </si>
  <si>
    <t>Vlr Referência</t>
  </si>
  <si>
    <t>Rótulos de Linha</t>
  </si>
  <si>
    <t>Total Geral</t>
  </si>
  <si>
    <t>Chave</t>
  </si>
  <si>
    <t>Soma de Valor</t>
  </si>
  <si>
    <t>Pagto</t>
  </si>
  <si>
    <t>Saúde</t>
  </si>
  <si>
    <t>(Tudo)</t>
  </si>
  <si>
    <t>Salários</t>
  </si>
  <si>
    <t>Recebimentos de Aluguel</t>
  </si>
  <si>
    <t>Seguro do imóvel</t>
  </si>
  <si>
    <t>Gás</t>
  </si>
  <si>
    <t>Luz</t>
  </si>
  <si>
    <t>Telefones</t>
  </si>
  <si>
    <t>TV por Assinatura</t>
  </si>
  <si>
    <t>Reformas/Consertos</t>
  </si>
  <si>
    <t>Receitas</t>
  </si>
  <si>
    <t>Plano de Saúde</t>
  </si>
  <si>
    <t>Dentista</t>
  </si>
  <si>
    <t>Medicamentos</t>
  </si>
  <si>
    <t>Ônibus/Metrô/Trem</t>
  </si>
  <si>
    <t>Táxi</t>
  </si>
  <si>
    <t>Seguro do carro</t>
  </si>
  <si>
    <t>IPVA</t>
  </si>
  <si>
    <t>Mecânico</t>
  </si>
  <si>
    <t>Multas</t>
  </si>
  <si>
    <t>Transporte</t>
  </si>
  <si>
    <t>Higiene Pessoal</t>
  </si>
  <si>
    <t>Cosméticos</t>
  </si>
  <si>
    <t>Cabeleireiro</t>
  </si>
  <si>
    <t>Vestuário</t>
  </si>
  <si>
    <t>Lavanderia</t>
  </si>
  <si>
    <t>Academia</t>
  </si>
  <si>
    <t>Mesada</t>
  </si>
  <si>
    <t>Despesas Pessoais</t>
  </si>
  <si>
    <t>Cafés/Bares/Boates</t>
  </si>
  <si>
    <t>Hotéis</t>
  </si>
  <si>
    <t>Passeios/Férias</t>
  </si>
  <si>
    <t>MasterCard</t>
  </si>
  <si>
    <t>Visa</t>
  </si>
  <si>
    <t>Empréstimos e Cartões</t>
  </si>
  <si>
    <t>Escola/Faculdade</t>
  </si>
  <si>
    <t>Cursos Extras</t>
  </si>
  <si>
    <t>Material escolar</t>
  </si>
  <si>
    <t>Esportes/Uniformes</t>
  </si>
  <si>
    <t>Empregada - Diarista</t>
  </si>
  <si>
    <t>Aluguel/Prestação de imóvel</t>
  </si>
  <si>
    <t>IPTU / Outros Impostos</t>
  </si>
  <si>
    <t>Outros gastos moradia</t>
  </si>
  <si>
    <t>Médico / Psicólogos</t>
  </si>
  <si>
    <t>Outros gastos saúde</t>
  </si>
  <si>
    <t>Prestação Automóvel</t>
  </si>
  <si>
    <t>Outros gastos transporte</t>
  </si>
  <si>
    <t>Outros gastos pessoais</t>
  </si>
  <si>
    <t>Outros gastos lazer</t>
  </si>
  <si>
    <t>Bancos</t>
  </si>
  <si>
    <t>Outros gastos educação</t>
  </si>
  <si>
    <t>Celular</t>
  </si>
  <si>
    <t>ANO BASE</t>
  </si>
  <si>
    <t>Aposentadoria</t>
  </si>
  <si>
    <t>Outros rendimentos</t>
  </si>
  <si>
    <t>Vlr Referência Meta/Mês</t>
  </si>
  <si>
    <t>Vencimento</t>
  </si>
  <si>
    <t>Ccusto</t>
  </si>
  <si>
    <t>Receitas de clientes</t>
  </si>
  <si>
    <t>Receitas de Clientes</t>
  </si>
  <si>
    <t>Particular</t>
  </si>
  <si>
    <t>(+) Saldo Inicial em conta</t>
  </si>
  <si>
    <t>Necessidade de capital giro ou financiamento</t>
  </si>
  <si>
    <t>Saldo Excedente ou Sobra em caixa</t>
  </si>
  <si>
    <t>=Ajuste de saldo em caixa ou conta</t>
  </si>
  <si>
    <t>Planilha de Controle de Gastos e Receitas</t>
  </si>
  <si>
    <t>P</t>
  </si>
  <si>
    <t>Descrição CC</t>
  </si>
  <si>
    <t>E</t>
  </si>
  <si>
    <t>Empresa</t>
  </si>
  <si>
    <t>Desscrição</t>
  </si>
  <si>
    <t>Tipo despesa/receita</t>
  </si>
  <si>
    <t>(Vários itens)</t>
  </si>
  <si>
    <t>Clique na tabela e pressione ALT+F5 para atualizar as tabelas</t>
  </si>
  <si>
    <t>Educação &amp; Filhos</t>
  </si>
  <si>
    <t>Pensão Alimentícia</t>
  </si>
  <si>
    <t>Assinaturas Jornais, Revistas</t>
  </si>
  <si>
    <t>Alimentação</t>
  </si>
  <si>
    <t>Restaurantes Almoço/Jantar</t>
  </si>
  <si>
    <t>Supermercado</t>
  </si>
  <si>
    <t>Combústivel</t>
  </si>
  <si>
    <t>#N/D</t>
  </si>
  <si>
    <t>1/2017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</si>
</sst>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1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0"/>
      <name val="Arial"/>
      <family val="2"/>
    </font>
    <font>
      <sz val="11"/>
      <color rgb="FFFFFF00"/>
      <name val="Calibri"/>
      <family val="2"/>
      <scheme val="minor"/>
    </font>
    <font>
      <sz val="11"/>
      <color theme="0"/>
      <name val="Calibri"/>
      <family val="2"/>
      <scheme val="minor"/>
    </font>
    <font>
      <b/>
      <sz val="14"/>
      <color theme="0"/>
      <name val="Arial"/>
      <family val="2"/>
    </font>
    <font>
      <b/>
      <sz val="11"/>
      <name val="Calibri"/>
      <family val="2"/>
      <scheme val="minor"/>
    </font>
    <font>
      <b/>
      <sz val="11"/>
      <color rgb="FFFFFF00"/>
      <name val="Calibri"/>
      <family val="2"/>
      <scheme val="minor"/>
    </font>
    <font>
      <b/>
      <sz val="10"/>
      <color theme="0"/>
      <name val="Arial"/>
      <family val="2"/>
    </font>
    <font>
      <b/>
      <sz val="18"/>
      <color theme="7" tint="-0.249977111117893"/>
      <name val="Arial"/>
      <family val="2"/>
    </font>
    <font>
      <sz val="11"/>
      <color rgb="FFFFC000"/>
      <name val="Calibri"/>
      <family val="2"/>
      <scheme val="minor"/>
    </font>
  </fonts>
  <fills count="12">
    <fill>
      <patternFill patternType="none"/>
    </fill>
    <fill>
      <patternFill patternType="gray125"/>
    </fill>
    <fill>
      <patternFill patternType="solid">
        <fgColor theme="3" tint="0.79998168889431442"/>
        <bgColor indexed="64"/>
      </patternFill>
    </fill>
    <fill>
      <patternFill patternType="solid">
        <fgColor rgb="FF92D050"/>
        <bgColor indexed="64"/>
      </patternFill>
    </fill>
    <fill>
      <patternFill patternType="solid">
        <fgColor theme="7" tint="-0.499984740745262"/>
        <bgColor indexed="64"/>
      </patternFill>
    </fill>
    <fill>
      <patternFill patternType="solid">
        <fgColor theme="7" tint="0.39997558519241921"/>
        <bgColor indexed="64"/>
      </patternFill>
    </fill>
    <fill>
      <patternFill patternType="solid">
        <fgColor theme="7"/>
        <bgColor indexed="64"/>
      </patternFill>
    </fill>
    <fill>
      <patternFill patternType="solid">
        <fgColor theme="7" tint="-0.249977111117893"/>
        <bgColor theme="7" tint="-0.249977111117893"/>
      </patternFill>
    </fill>
    <fill>
      <patternFill patternType="solid">
        <fgColor theme="7"/>
        <bgColor theme="7"/>
      </patternFill>
    </fill>
    <fill>
      <patternFill patternType="solid">
        <fgColor theme="7" tint="-0.249977111117893"/>
        <bgColor indexed="64"/>
      </patternFill>
    </fill>
    <fill>
      <patternFill patternType="solid">
        <fgColor rgb="FF92D050"/>
        <bgColor theme="7"/>
      </patternFill>
    </fill>
    <fill>
      <patternFill patternType="solid">
        <fgColor theme="7" tint="0.59999389629810485"/>
        <bgColor rgb="FFFFFFFF"/>
      </patternFill>
    </fill>
  </fills>
  <borders count="22">
    <border>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theme="0"/>
      </right>
      <top style="thin">
        <color theme="0"/>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right/>
      <top/>
      <bottom style="thin">
        <color theme="0"/>
      </bottom>
      <diagonal/>
    </border>
    <border>
      <left/>
      <right/>
      <top style="thin">
        <color theme="0"/>
      </top>
      <bottom style="thin">
        <color theme="0"/>
      </bottom>
      <diagonal/>
    </border>
    <border>
      <left style="thin">
        <color theme="0"/>
      </left>
      <right style="thin">
        <color indexed="64"/>
      </right>
      <top style="thin">
        <color theme="0"/>
      </top>
      <bottom style="thin">
        <color theme="0"/>
      </bottom>
      <diagonal/>
    </border>
  </borders>
  <cellStyleXfs count="2">
    <xf numFmtId="0" fontId="0" fillId="0" borderId="0"/>
    <xf numFmtId="43" fontId="1" fillId="0" borderId="0" applyFont="0" applyFill="0" applyBorder="0" applyAlignment="0" applyProtection="0"/>
  </cellStyleXfs>
  <cellXfs count="88">
    <xf numFmtId="0" fontId="0" fillId="0" borderId="0" xfId="0"/>
    <xf numFmtId="0" fontId="3" fillId="0" borderId="0" xfId="0" applyFont="1" applyProtection="1"/>
    <xf numFmtId="0" fontId="2" fillId="6" borderId="15" xfId="0" applyFont="1" applyFill="1" applyBorder="1" applyProtection="1"/>
    <xf numFmtId="0" fontId="2" fillId="3" borderId="15" xfId="0" applyFont="1" applyFill="1" applyBorder="1" applyAlignment="1" applyProtection="1">
      <alignment horizontal="center"/>
    </xf>
    <xf numFmtId="43" fontId="2" fillId="6" borderId="15" xfId="1" applyFont="1" applyFill="1" applyBorder="1" applyAlignment="1" applyProtection="1">
      <alignment horizontal="center"/>
    </xf>
    <xf numFmtId="43" fontId="2" fillId="6" borderId="15" xfId="1" applyFont="1" applyFill="1" applyBorder="1" applyAlignment="1" applyProtection="1">
      <alignment horizontal="right"/>
    </xf>
    <xf numFmtId="0" fontId="3" fillId="0" borderId="17" xfId="0" applyFont="1" applyFill="1" applyBorder="1" applyProtection="1"/>
    <xf numFmtId="43" fontId="3" fillId="0" borderId="18" xfId="1" applyFont="1" applyFill="1" applyBorder="1" applyProtection="1"/>
    <xf numFmtId="0" fontId="3" fillId="0" borderId="6" xfId="0" applyFont="1" applyFill="1" applyBorder="1" applyProtection="1"/>
    <xf numFmtId="43" fontId="3" fillId="0" borderId="7" xfId="1" applyFont="1" applyFill="1" applyBorder="1" applyProtection="1"/>
    <xf numFmtId="0" fontId="3" fillId="0" borderId="13" xfId="0" applyFont="1" applyFill="1" applyBorder="1" applyProtection="1"/>
    <xf numFmtId="43" fontId="3" fillId="0" borderId="15" xfId="1" applyFont="1" applyFill="1" applyBorder="1" applyProtection="1"/>
    <xf numFmtId="0" fontId="2" fillId="4" borderId="16" xfId="0" applyFont="1" applyFill="1" applyBorder="1" applyProtection="1"/>
    <xf numFmtId="43" fontId="2" fillId="4" borderId="16" xfId="1" applyFont="1" applyFill="1" applyBorder="1" applyProtection="1"/>
    <xf numFmtId="14" fontId="9" fillId="9" borderId="11" xfId="0" applyNumberFormat="1" applyFont="1" applyFill="1" applyBorder="1" applyAlignment="1" applyProtection="1">
      <alignment horizontal="center"/>
    </xf>
    <xf numFmtId="0" fontId="2" fillId="9" borderId="9" xfId="0" applyFont="1" applyFill="1" applyBorder="1" applyAlignment="1" applyProtection="1">
      <alignment horizontal="right"/>
    </xf>
    <xf numFmtId="43" fontId="2" fillId="9" borderId="9" xfId="1" applyFont="1" applyFill="1" applyBorder="1" applyAlignment="1" applyProtection="1">
      <alignment horizontal="center"/>
    </xf>
    <xf numFmtId="43" fontId="2" fillId="9" borderId="9" xfId="1" applyFont="1" applyFill="1" applyBorder="1" applyAlignment="1" applyProtection="1">
      <alignment horizontal="right"/>
    </xf>
    <xf numFmtId="0" fontId="3" fillId="0" borderId="5" xfId="0" applyFont="1" applyFill="1" applyBorder="1" applyProtection="1"/>
    <xf numFmtId="43" fontId="3" fillId="0" borderId="14" xfId="1" applyFont="1" applyFill="1" applyBorder="1" applyProtection="1"/>
    <xf numFmtId="43" fontId="8" fillId="0" borderId="1" xfId="1" applyFont="1" applyFill="1" applyBorder="1" applyProtection="1"/>
    <xf numFmtId="0" fontId="3" fillId="0" borderId="3" xfId="0" applyFont="1" applyFill="1" applyBorder="1" applyProtection="1"/>
    <xf numFmtId="43" fontId="3" fillId="0" borderId="4" xfId="1" applyFont="1" applyFill="1" applyBorder="1" applyProtection="1"/>
    <xf numFmtId="0" fontId="3" fillId="0" borderId="9" xfId="0" applyFont="1" applyFill="1" applyBorder="1" applyProtection="1"/>
    <xf numFmtId="43" fontId="3" fillId="0" borderId="10" xfId="1" applyFont="1" applyFill="1" applyBorder="1" applyProtection="1"/>
    <xf numFmtId="164" fontId="3" fillId="0" borderId="0" xfId="1" applyNumberFormat="1" applyFont="1" applyProtection="1"/>
    <xf numFmtId="0" fontId="3" fillId="2" borderId="2" xfId="0" applyFont="1" applyFill="1" applyBorder="1" applyProtection="1"/>
    <xf numFmtId="43" fontId="3" fillId="2" borderId="3" xfId="1" applyFont="1" applyFill="1" applyBorder="1" applyProtection="1"/>
    <xf numFmtId="43" fontId="4" fillId="2" borderId="4" xfId="1" applyFont="1" applyFill="1" applyBorder="1" applyProtection="1"/>
    <xf numFmtId="0" fontId="2" fillId="9" borderId="8" xfId="0" applyFont="1" applyFill="1" applyBorder="1" applyProtection="1"/>
    <xf numFmtId="0" fontId="2" fillId="9" borderId="6" xfId="0" applyFont="1" applyFill="1" applyBorder="1" applyProtection="1"/>
    <xf numFmtId="43" fontId="2" fillId="9" borderId="20" xfId="1" applyFont="1" applyFill="1" applyBorder="1" applyAlignment="1" applyProtection="1">
      <alignment horizontal="right"/>
    </xf>
    <xf numFmtId="43" fontId="2" fillId="9" borderId="8" xfId="1" applyFont="1" applyFill="1" applyBorder="1" applyAlignment="1" applyProtection="1">
      <alignment horizontal="right"/>
    </xf>
    <xf numFmtId="43" fontId="2" fillId="9" borderId="7" xfId="1" applyFont="1" applyFill="1" applyBorder="1" applyAlignment="1" applyProtection="1">
      <alignment horizontal="right"/>
    </xf>
    <xf numFmtId="43" fontId="2" fillId="9" borderId="21" xfId="1" applyFont="1" applyFill="1" applyBorder="1" applyAlignment="1" applyProtection="1">
      <alignment horizontal="right"/>
    </xf>
    <xf numFmtId="164" fontId="3" fillId="0" borderId="6" xfId="1" applyNumberFormat="1" applyFont="1" applyBorder="1" applyProtection="1"/>
    <xf numFmtId="0" fontId="2" fillId="7" borderId="19" xfId="0" applyFont="1" applyFill="1" applyBorder="1" applyProtection="1"/>
    <xf numFmtId="43" fontId="2" fillId="7" borderId="17" xfId="1" applyNumberFormat="1" applyFont="1" applyFill="1" applyBorder="1" applyProtection="1"/>
    <xf numFmtId="43" fontId="2" fillId="7" borderId="16" xfId="1" applyNumberFormat="1" applyFont="1" applyFill="1" applyBorder="1" applyProtection="1"/>
    <xf numFmtId="0" fontId="2" fillId="8" borderId="20" xfId="0" applyFont="1" applyFill="1" applyBorder="1" applyProtection="1"/>
    <xf numFmtId="43" fontId="2" fillId="8" borderId="6" xfId="1" applyNumberFormat="1" applyFont="1" applyFill="1" applyBorder="1" applyProtection="1"/>
    <xf numFmtId="43" fontId="10" fillId="8" borderId="7" xfId="1" applyNumberFormat="1" applyFont="1" applyFill="1" applyBorder="1" applyProtection="1"/>
    <xf numFmtId="43" fontId="2" fillId="8" borderId="7" xfId="1" applyNumberFormat="1" applyFont="1" applyFill="1" applyBorder="1" applyProtection="1"/>
    <xf numFmtId="0" fontId="2" fillId="7" borderId="8" xfId="0" applyFont="1" applyFill="1" applyBorder="1" applyProtection="1"/>
    <xf numFmtId="43" fontId="2" fillId="7" borderId="6" xfId="1" applyNumberFormat="1" applyFont="1" applyFill="1" applyBorder="1" applyProtection="1"/>
    <xf numFmtId="43" fontId="2" fillId="7" borderId="7" xfId="1" applyNumberFormat="1" applyFont="1" applyFill="1" applyBorder="1" applyProtection="1"/>
    <xf numFmtId="43" fontId="2" fillId="10" borderId="6" xfId="1" applyNumberFormat="1" applyFont="1" applyFill="1" applyBorder="1" applyProtection="1"/>
    <xf numFmtId="0" fontId="2" fillId="8" borderId="18" xfId="0" applyFont="1" applyFill="1" applyBorder="1" applyProtection="1"/>
    <xf numFmtId="43" fontId="2" fillId="8" borderId="17" xfId="1" applyNumberFormat="1" applyFont="1" applyFill="1" applyBorder="1" applyProtection="1"/>
    <xf numFmtId="43" fontId="10" fillId="10" borderId="7" xfId="1" applyNumberFormat="1" applyFont="1" applyFill="1" applyBorder="1" applyProtection="1"/>
    <xf numFmtId="43" fontId="2" fillId="10" borderId="7" xfId="1" applyNumberFormat="1" applyFont="1" applyFill="1" applyBorder="1" applyProtection="1"/>
    <xf numFmtId="0" fontId="2" fillId="7" borderId="20" xfId="0" applyFont="1" applyFill="1" applyBorder="1" applyProtection="1"/>
    <xf numFmtId="0" fontId="2" fillId="8" borderId="8" xfId="0" applyFont="1" applyFill="1" applyBorder="1" applyProtection="1"/>
    <xf numFmtId="43" fontId="3" fillId="0" borderId="0" xfId="1" applyFont="1" applyProtection="1"/>
    <xf numFmtId="0" fontId="0" fillId="0" borderId="0" xfId="0" applyProtection="1"/>
    <xf numFmtId="0" fontId="0" fillId="0" borderId="0" xfId="0" pivotButton="1" applyProtection="1"/>
    <xf numFmtId="0" fontId="0" fillId="0" borderId="0" xfId="0" applyAlignment="1" applyProtection="1">
      <alignment horizontal="left"/>
    </xf>
    <xf numFmtId="3" fontId="0" fillId="0" borderId="0" xfId="0" applyNumberFormat="1" applyProtection="1"/>
    <xf numFmtId="0" fontId="0" fillId="0" borderId="0" xfId="0" applyFont="1" applyProtection="1"/>
    <xf numFmtId="43" fontId="0" fillId="0" borderId="0" xfId="1" applyFont="1" applyProtection="1"/>
    <xf numFmtId="0" fontId="5" fillId="0" borderId="0" xfId="0" applyFont="1" applyProtection="1"/>
    <xf numFmtId="14" fontId="0" fillId="0" borderId="0" xfId="0" applyNumberFormat="1" applyFont="1" applyProtection="1"/>
    <xf numFmtId="16" fontId="0" fillId="0" borderId="0" xfId="0" applyNumberFormat="1" applyProtection="1"/>
    <xf numFmtId="0" fontId="6" fillId="0" borderId="0" xfId="0" applyFont="1" applyProtection="1"/>
    <xf numFmtId="4" fontId="6" fillId="0" borderId="0" xfId="0" applyNumberFormat="1" applyFont="1" applyAlignment="1" applyProtection="1">
      <alignment horizontal="right" wrapText="1"/>
    </xf>
    <xf numFmtId="14" fontId="6" fillId="0" borderId="0" xfId="0" applyNumberFormat="1" applyFont="1" applyAlignment="1" applyProtection="1">
      <alignment wrapText="1"/>
    </xf>
    <xf numFmtId="0" fontId="6" fillId="0" borderId="0" xfId="0" applyFont="1" applyAlignment="1" applyProtection="1">
      <alignment horizontal="right" wrapText="1"/>
    </xf>
    <xf numFmtId="0" fontId="5" fillId="0" borderId="0" xfId="0" applyNumberFormat="1" applyFont="1" applyProtection="1"/>
    <xf numFmtId="0" fontId="0" fillId="0" borderId="0" xfId="0" applyNumberFormat="1" applyFont="1" applyProtection="1"/>
    <xf numFmtId="43" fontId="0" fillId="0" borderId="0" xfId="0" applyNumberFormat="1" applyFont="1" applyProtection="1"/>
    <xf numFmtId="14" fontId="12" fillId="0" borderId="0" xfId="0" applyNumberFormat="1" applyFont="1" applyProtection="1"/>
    <xf numFmtId="0" fontId="12" fillId="0" borderId="0" xfId="0" applyFont="1" applyProtection="1"/>
    <xf numFmtId="0" fontId="12" fillId="0" borderId="0" xfId="0" applyNumberFormat="1" applyFont="1" applyAlignment="1" applyProtection="1">
      <alignment wrapText="1"/>
    </xf>
    <xf numFmtId="43" fontId="2" fillId="0" borderId="16" xfId="1" applyFont="1" applyFill="1" applyBorder="1" applyProtection="1"/>
    <xf numFmtId="43" fontId="2" fillId="0" borderId="7" xfId="1" applyFont="1" applyFill="1" applyBorder="1" applyProtection="1"/>
    <xf numFmtId="43" fontId="10" fillId="7" borderId="7" xfId="1" applyNumberFormat="1" applyFont="1" applyFill="1" applyBorder="1" applyProtection="1"/>
    <xf numFmtId="43" fontId="10" fillId="7" borderId="6" xfId="1" applyNumberFormat="1" applyFont="1" applyFill="1" applyBorder="1" applyProtection="1"/>
    <xf numFmtId="43" fontId="10" fillId="8" borderId="6" xfId="1" applyNumberFormat="1" applyFont="1" applyFill="1" applyBorder="1" applyProtection="1"/>
    <xf numFmtId="16" fontId="0" fillId="0" borderId="0" xfId="0" applyNumberFormat="1" applyFont="1" applyProtection="1"/>
    <xf numFmtId="16" fontId="12" fillId="0" borderId="0" xfId="0" applyNumberFormat="1" applyFont="1" applyProtection="1"/>
    <xf numFmtId="0" fontId="0" fillId="0" borderId="0" xfId="0" pivotButton="1"/>
    <xf numFmtId="0" fontId="0" fillId="0" borderId="0" xfId="0" applyAlignment="1">
      <alignment horizontal="left"/>
    </xf>
    <xf numFmtId="4" fontId="0" fillId="0" borderId="0" xfId="0" applyNumberFormat="1"/>
    <xf numFmtId="43" fontId="0" fillId="0" borderId="14" xfId="1" applyFont="1" applyFill="1" applyBorder="1" applyProtection="1"/>
    <xf numFmtId="43" fontId="0" fillId="0" borderId="16" xfId="1" applyFont="1" applyFill="1" applyBorder="1" applyProtection="1"/>
    <xf numFmtId="0" fontId="11" fillId="11" borderId="0" xfId="0" applyFont="1" applyFill="1" applyBorder="1" applyAlignment="1" applyProtection="1">
      <alignment horizontal="center" vertical="center" wrapText="1"/>
    </xf>
    <xf numFmtId="0" fontId="7" fillId="5" borderId="12" xfId="0" applyFont="1" applyFill="1" applyBorder="1" applyAlignment="1" applyProtection="1">
      <alignment horizontal="center"/>
    </xf>
    <xf numFmtId="0" fontId="7" fillId="5" borderId="0" xfId="0" applyFont="1" applyFill="1" applyBorder="1" applyAlignment="1" applyProtection="1">
      <alignment horizontal="center"/>
    </xf>
  </cellXfs>
  <cellStyles count="2">
    <cellStyle name="Normal" xfId="0" builtinId="0"/>
    <cellStyle name="Vírgula" xfId="1" builtinId="3"/>
  </cellStyles>
  <dxfs count="128">
    <dxf>
      <protection locked="1"/>
    </dxf>
    <dxf>
      <protection locked="1"/>
    </dxf>
    <dxf>
      <protection locked="1"/>
    </dxf>
    <dxf>
      <protection locked="1"/>
    </dxf>
    <dxf>
      <protection locked="1"/>
    </dxf>
    <dxf>
      <protection locked="1"/>
    </dxf>
    <dxf>
      <protection locked="1"/>
    </dxf>
    <dxf>
      <protection locked="0"/>
    </dxf>
    <dxf>
      <protection locked="0"/>
    </dxf>
    <dxf>
      <protection locked="0"/>
    </dxf>
    <dxf>
      <protection locked="0"/>
    </dxf>
    <dxf>
      <protection locked="0"/>
    </dxf>
    <dxf>
      <protection locked="0"/>
    </dxf>
    <dxf>
      <protection locked="0"/>
    </dxf>
    <dxf>
      <font>
        <b/>
        <i val="0"/>
        <strike val="0"/>
        <condense val="0"/>
        <extend val="0"/>
        <outline val="0"/>
        <shadow val="0"/>
        <u val="none"/>
        <vertAlign val="baseline"/>
        <sz val="11"/>
        <color auto="1"/>
        <name val="Calibri"/>
        <family val="2"/>
        <scheme val="minor"/>
      </font>
      <fill>
        <patternFill patternType="none">
          <fgColor indexed="64"/>
          <bgColor auto="1"/>
        </patternFill>
      </fill>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fill>
        <patternFill patternType="solid">
          <fgColor indexed="64"/>
          <bgColor theme="3" tint="0.39997558519241921"/>
        </patternFill>
      </fill>
      <border diagonalUp="0" diagonalDown="0" outline="0">
        <left/>
        <right/>
        <top/>
        <bottom style="thin">
          <color indexed="64"/>
        </bottom>
      </border>
    </dxf>
    <dxf>
      <font>
        <b/>
        <i val="0"/>
        <strike val="0"/>
        <condense val="0"/>
        <extend val="0"/>
        <outline val="0"/>
        <shadow val="0"/>
        <u val="none"/>
        <vertAlign val="baseline"/>
        <sz val="11"/>
        <color auto="1"/>
        <name val="Calibri"/>
        <family val="2"/>
        <scheme val="minor"/>
      </font>
      <numFmt numFmtId="35" formatCode="_-* #,##0.00_-;\-* #,##0.00_-;_-* &quot;-&quot;??_-;_-@_-"/>
      <fill>
        <patternFill patternType="none">
          <fgColor indexed="64"/>
          <bgColor indexed="65"/>
        </patternFill>
      </fill>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indexed="64"/>
          <bgColor theme="3" tint="0.39997558519241921"/>
        </patternFill>
      </fill>
      <border diagonalUp="0" diagonalDown="0" outline="0">
        <left/>
        <right style="thin">
          <color indexed="64"/>
        </right>
        <top/>
        <bottom style="thin">
          <color indexed="64"/>
        </bottom>
      </border>
    </dxf>
    <dxf>
      <font>
        <b/>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indexed="64"/>
          <bgColor theme="3" tint="0.39997558519241921"/>
        </patternFill>
      </fill>
      <border diagonalUp="0" diagonalDown="0" outline="0">
        <left/>
        <right style="thin">
          <color indexed="64"/>
        </right>
        <top/>
        <bottom style="thin">
          <color indexed="64"/>
        </bottom>
      </border>
    </dxf>
    <dxf>
      <font>
        <b/>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indexed="64"/>
          <bgColor theme="3" tint="0.39997558519241921"/>
        </patternFill>
      </fill>
      <border diagonalUp="0" diagonalDown="0" outline="0">
        <left/>
        <right style="thin">
          <color indexed="64"/>
        </right>
        <top/>
        <bottom style="thin">
          <color indexed="64"/>
        </bottom>
      </border>
    </dxf>
    <dxf>
      <font>
        <b/>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indexed="64"/>
          <bgColor theme="3" tint="0.39997558519241921"/>
        </patternFill>
      </fill>
      <border diagonalUp="0" diagonalDown="0" outline="0">
        <left/>
        <right style="thin">
          <color indexed="64"/>
        </right>
        <top/>
        <bottom style="thin">
          <color indexed="64"/>
        </bottom>
      </border>
    </dxf>
    <dxf>
      <font>
        <b/>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indexed="64"/>
          <bgColor theme="3" tint="0.39997558519241921"/>
        </patternFill>
      </fill>
      <border diagonalUp="0" diagonalDown="0" outline="0">
        <left/>
        <right style="thin">
          <color indexed="64"/>
        </right>
        <top/>
        <bottom style="thin">
          <color indexed="64"/>
        </bottom>
      </border>
    </dxf>
    <dxf>
      <font>
        <b/>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indexed="64"/>
          <bgColor theme="3" tint="0.39997558519241921"/>
        </patternFill>
      </fill>
      <border diagonalUp="0" diagonalDown="0" outline="0">
        <left/>
        <right style="thin">
          <color indexed="64"/>
        </right>
        <top/>
        <bottom style="thin">
          <color indexed="64"/>
        </bottom>
      </border>
    </dxf>
    <dxf>
      <font>
        <b/>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indexed="64"/>
          <bgColor theme="3" tint="0.39997558519241921"/>
        </patternFill>
      </fill>
      <border diagonalUp="0" diagonalDown="0" outline="0">
        <left/>
        <right style="thin">
          <color indexed="64"/>
        </right>
        <top/>
        <bottom style="thin">
          <color indexed="64"/>
        </bottom>
      </border>
    </dxf>
    <dxf>
      <font>
        <b/>
        <i val="0"/>
        <strike val="0"/>
        <condense val="0"/>
        <extend val="0"/>
        <outline val="0"/>
        <shadow val="0"/>
        <u val="none"/>
        <vertAlign val="baseline"/>
        <sz val="11"/>
        <color auto="1"/>
        <name val="Calibri"/>
        <family val="2"/>
        <scheme val="minor"/>
      </font>
      <numFmt numFmtId="35" formatCode="_-* #,##0.00_-;\-* #,##0.00_-;_-* &quot;-&quot;??_-;_-@_-"/>
      <fill>
        <patternFill patternType="none">
          <fgColor indexed="64"/>
          <bgColor indexed="65"/>
        </patternFill>
      </fill>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indexed="64"/>
          <bgColor theme="3" tint="0.39997558519241921"/>
        </patternFill>
      </fill>
      <border diagonalUp="0" diagonalDown="0" outline="0">
        <left/>
        <right style="thin">
          <color indexed="64"/>
        </right>
        <top/>
        <bottom style="thin">
          <color indexed="64"/>
        </bottom>
      </border>
    </dxf>
    <dxf>
      <font>
        <b/>
        <i val="0"/>
        <strike val="0"/>
        <condense val="0"/>
        <extend val="0"/>
        <outline val="0"/>
        <shadow val="0"/>
        <u val="none"/>
        <vertAlign val="baseline"/>
        <sz val="11"/>
        <color auto="1"/>
        <name val="Calibri"/>
        <family val="2"/>
        <scheme val="minor"/>
      </font>
      <numFmt numFmtId="35" formatCode="_-* #,##0.00_-;\-* #,##0.00_-;_-* &quot;-&quot;??_-;_-@_-"/>
      <fill>
        <patternFill patternType="none">
          <fgColor indexed="64"/>
          <bgColor indexed="65"/>
        </patternFill>
      </fill>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indexed="64"/>
          <bgColor theme="3" tint="0.39997558519241921"/>
        </patternFill>
      </fill>
      <border diagonalUp="0" diagonalDown="0" outline="0">
        <left/>
        <right style="thin">
          <color indexed="64"/>
        </right>
        <top/>
        <bottom style="thin">
          <color indexed="64"/>
        </bottom>
      </border>
    </dxf>
    <dxf>
      <font>
        <b/>
        <i val="0"/>
        <strike val="0"/>
        <condense val="0"/>
        <extend val="0"/>
        <outline val="0"/>
        <shadow val="0"/>
        <u val="none"/>
        <vertAlign val="baseline"/>
        <sz val="11"/>
        <color auto="1"/>
        <name val="Calibri"/>
        <family val="2"/>
        <scheme val="minor"/>
      </font>
      <numFmt numFmtId="35" formatCode="_-* #,##0.00_-;\-* #,##0.00_-;_-* &quot;-&quot;??_-;_-@_-"/>
      <fill>
        <patternFill patternType="none">
          <fgColor indexed="64"/>
          <bgColor indexed="65"/>
        </patternFill>
      </fill>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indexed="64"/>
          <bgColor theme="3" tint="0.39997558519241921"/>
        </patternFill>
      </fill>
      <border diagonalUp="0" diagonalDown="0" outline="0">
        <left/>
        <right style="thin">
          <color indexed="64"/>
        </right>
        <top/>
        <bottom style="thin">
          <color indexed="64"/>
        </bottom>
      </border>
    </dxf>
    <dxf>
      <font>
        <b/>
        <i val="0"/>
        <strike val="0"/>
        <condense val="0"/>
        <extend val="0"/>
        <outline val="0"/>
        <shadow val="0"/>
        <u val="none"/>
        <vertAlign val="baseline"/>
        <sz val="11"/>
        <color auto="1"/>
        <name val="Calibri"/>
        <family val="2"/>
        <scheme val="minor"/>
      </font>
      <numFmt numFmtId="35" formatCode="_-* #,##0.00_-;\-* #,##0.00_-;_-* &quot;-&quot;??_-;_-@_-"/>
      <fill>
        <patternFill patternType="none">
          <fgColor indexed="64"/>
          <bgColor indexed="65"/>
        </patternFill>
      </fill>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indexed="64"/>
          <bgColor theme="3" tint="0.39997558519241921"/>
        </patternFill>
      </fill>
      <border diagonalUp="0" diagonalDown="0" outline="0">
        <left/>
        <right style="thin">
          <color indexed="64"/>
        </right>
        <top/>
        <bottom style="thin">
          <color indexed="64"/>
        </bottom>
      </border>
    </dxf>
    <dxf>
      <font>
        <b/>
        <i val="0"/>
        <strike val="0"/>
        <condense val="0"/>
        <extend val="0"/>
        <outline val="0"/>
        <shadow val="0"/>
        <u val="none"/>
        <vertAlign val="baseline"/>
        <sz val="11"/>
        <color auto="1"/>
        <name val="Calibri"/>
        <family val="2"/>
        <scheme val="minor"/>
      </font>
      <numFmt numFmtId="35" formatCode="_-* #,##0.00_-;\-* #,##0.00_-;_-* &quot;-&quot;??_-;_-@_-"/>
      <fill>
        <patternFill patternType="none">
          <fgColor indexed="64"/>
          <bgColor indexed="65"/>
        </patternFill>
      </fill>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indexed="64"/>
          <bgColor theme="3" tint="0.39997558519241921"/>
        </patternFill>
      </fill>
      <border diagonalUp="0" diagonalDown="0" outline="0">
        <left/>
        <right style="thin">
          <color indexed="64"/>
        </right>
        <top/>
        <bottom style="thin">
          <color indexed="64"/>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1"/>
        <color theme="1"/>
        <name val="Calibri"/>
        <family val="2"/>
        <scheme val="minor"/>
      </font>
      <fill>
        <patternFill patternType="solid">
          <fgColor indexed="64"/>
          <bgColor theme="3" tint="0.39997558519241921"/>
        </patternFill>
      </fill>
      <border diagonalUp="0" diagonalDown="0" outline="0">
        <left/>
        <right style="thin">
          <color indexed="64"/>
        </right>
        <top/>
        <bottom style="thin">
          <color indexed="64"/>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1"/>
        <color theme="1"/>
        <name val="Calibri"/>
        <family val="2"/>
        <scheme val="minor"/>
      </font>
      <fill>
        <patternFill patternType="solid">
          <fgColor indexed="64"/>
          <bgColor theme="3" tint="0.39997558519241921"/>
        </patternFill>
      </fill>
      <border diagonalUp="0" diagonalDown="0" outline="0">
        <left/>
        <right/>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protection locked="1" hidden="0"/>
    </dxf>
    <dxf>
      <border outline="0">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left style="thin">
          <color indexed="64"/>
        </left>
        <right style="thin">
          <color indexed="64"/>
        </right>
        <top/>
        <bottom/>
        <vertical style="thin">
          <color indexed="64"/>
        </vertical>
        <horizontal style="thin">
          <color indexed="64"/>
        </horizontal>
      </border>
      <protection locked="1" hidden="0"/>
    </dxf>
    <dxf>
      <fill>
        <patternFill patternType="none">
          <fgColor indexed="64"/>
          <bgColor auto="1"/>
        </patternFill>
      </fill>
      <border diagonalUp="0" diagonalDown="0">
        <left style="thin">
          <color theme="0"/>
        </left>
        <right/>
        <top style="thin">
          <color theme="0"/>
        </top>
        <bottom style="thin">
          <color theme="0"/>
        </bottom>
        <vertical style="thin">
          <color theme="0"/>
        </vertical>
        <horizontal style="thin">
          <color theme="0"/>
        </horizontal>
      </border>
      <protection locked="1" hidden="0"/>
    </dxf>
    <dxf>
      <font>
        <b/>
        <i val="0"/>
        <strike val="0"/>
        <condense val="0"/>
        <extend val="0"/>
        <outline val="0"/>
        <shadow val="0"/>
        <u val="none"/>
        <vertAlign val="baseline"/>
        <sz val="11"/>
        <color theme="1"/>
        <name val="Calibri"/>
        <family val="2"/>
        <scheme val="minor"/>
      </font>
      <fill>
        <patternFill patternType="solid">
          <fgColor indexed="64"/>
          <bgColor theme="3" tint="0.39997558519241921"/>
        </patternFill>
      </fill>
      <border diagonalUp="0" diagonalDown="0" outline="0">
        <left/>
        <right style="thin">
          <color indexed="64"/>
        </right>
        <top/>
        <bottom style="thin">
          <color indexed="64"/>
        </bottom>
      </border>
    </dxf>
    <dxf>
      <font>
        <b/>
      </font>
      <numFmt numFmtId="35" formatCode="_-* #,##0.00_-;\-* #,##0.00_-;_-* &quot;-&quot;??_-;_-@_-"/>
      <fill>
        <patternFill patternType="none">
          <fgColor indexed="64"/>
          <bgColor indexed="65"/>
        </patternFill>
      </fill>
      <border diagonalUp="0" diagonalDown="0">
        <left style="thin">
          <color theme="0"/>
        </left>
        <right style="thin">
          <color theme="0"/>
        </right>
        <top/>
        <bottom style="thin">
          <color theme="0"/>
        </bottom>
        <vertical/>
        <horizontal/>
      </border>
      <protection locked="1" hidden="0"/>
    </dxf>
    <dxf>
      <font>
        <b/>
        <i val="0"/>
        <strike val="0"/>
        <condense val="0"/>
        <extend val="0"/>
        <outline val="0"/>
        <shadow val="0"/>
        <u val="none"/>
        <vertAlign val="baseline"/>
        <sz val="11"/>
        <color theme="1"/>
        <name val="Calibri"/>
        <family val="2"/>
        <scheme val="minor"/>
      </font>
      <fill>
        <patternFill patternType="solid">
          <fgColor indexed="64"/>
          <bgColor theme="3" tint="0.39997558519241921"/>
        </patternFill>
      </fill>
      <border diagonalUp="0" diagonalDown="0" outline="0">
        <left/>
        <right style="thin">
          <color indexed="64"/>
        </right>
        <top/>
        <bottom style="thin">
          <color indexed="64"/>
        </bottom>
      </border>
    </dxf>
    <dxf>
      <font>
        <b/>
      </font>
      <numFmt numFmtId="35" formatCode="_-* #,##0.00_-;\-* #,##0.00_-;_-* &quot;-&quot;??_-;_-@_-"/>
      <fill>
        <patternFill patternType="none">
          <fgColor indexed="64"/>
          <bgColor indexed="65"/>
        </patternFill>
      </fill>
      <border diagonalUp="0" diagonalDown="0">
        <left style="thin">
          <color theme="0"/>
        </left>
        <right style="thin">
          <color theme="0"/>
        </right>
        <top/>
        <bottom style="thin">
          <color theme="0"/>
        </bottom>
        <vertical/>
        <horizontal/>
      </border>
      <protection locked="1" hidden="0"/>
    </dxf>
    <dxf>
      <font>
        <b/>
        <i val="0"/>
        <strike val="0"/>
        <condense val="0"/>
        <extend val="0"/>
        <outline val="0"/>
        <shadow val="0"/>
        <u val="none"/>
        <vertAlign val="baseline"/>
        <sz val="11"/>
        <color theme="1"/>
        <name val="Calibri"/>
        <family val="2"/>
        <scheme val="minor"/>
      </font>
      <fill>
        <patternFill patternType="solid">
          <fgColor indexed="64"/>
          <bgColor theme="3" tint="0.39997558519241921"/>
        </patternFill>
      </fill>
      <border diagonalUp="0" diagonalDown="0" outline="0">
        <left/>
        <right style="thin">
          <color indexed="64"/>
        </right>
        <top/>
        <bottom style="thin">
          <color indexed="64"/>
        </bottom>
      </border>
    </dxf>
    <dxf>
      <font>
        <b/>
      </font>
      <numFmt numFmtId="35" formatCode="_-* #,##0.00_-;\-* #,##0.00_-;_-* &quot;-&quot;??_-;_-@_-"/>
      <fill>
        <patternFill patternType="none">
          <fgColor indexed="64"/>
          <bgColor indexed="65"/>
        </patternFill>
      </fill>
      <border diagonalUp="0" diagonalDown="0">
        <left style="thin">
          <color theme="0"/>
        </left>
        <right style="thin">
          <color theme="0"/>
        </right>
        <top/>
        <bottom style="thin">
          <color theme="0"/>
        </bottom>
        <vertical/>
        <horizontal/>
      </border>
      <protection locked="1" hidden="0"/>
    </dxf>
    <dxf>
      <font>
        <b/>
        <i val="0"/>
        <strike val="0"/>
        <condense val="0"/>
        <extend val="0"/>
        <outline val="0"/>
        <shadow val="0"/>
        <u val="none"/>
        <vertAlign val="baseline"/>
        <sz val="11"/>
        <color theme="1"/>
        <name val="Calibri"/>
        <family val="2"/>
        <scheme val="minor"/>
      </font>
      <fill>
        <patternFill patternType="solid">
          <fgColor indexed="64"/>
          <bgColor theme="3" tint="0.39997558519241921"/>
        </patternFill>
      </fill>
      <border diagonalUp="0" diagonalDown="0" outline="0">
        <left/>
        <right style="thin">
          <color indexed="64"/>
        </right>
        <top/>
        <bottom style="thin">
          <color indexed="64"/>
        </bottom>
      </border>
    </dxf>
    <dxf>
      <font>
        <b/>
      </font>
      <numFmt numFmtId="35" formatCode="_-* #,##0.00_-;\-* #,##0.00_-;_-* &quot;-&quot;??_-;_-@_-"/>
      <fill>
        <patternFill patternType="none">
          <fgColor indexed="64"/>
          <bgColor indexed="65"/>
        </patternFill>
      </fill>
      <border diagonalUp="0" diagonalDown="0">
        <left style="thin">
          <color theme="0"/>
        </left>
        <right style="thin">
          <color theme="0"/>
        </right>
        <top/>
        <bottom style="thin">
          <color theme="0"/>
        </bottom>
        <vertical/>
        <horizontal/>
      </border>
      <protection locked="1" hidden="0"/>
    </dxf>
    <dxf>
      <font>
        <b/>
        <i val="0"/>
        <strike val="0"/>
        <condense val="0"/>
        <extend val="0"/>
        <outline val="0"/>
        <shadow val="0"/>
        <u val="none"/>
        <vertAlign val="baseline"/>
        <sz val="11"/>
        <color theme="1"/>
        <name val="Calibri"/>
        <family val="2"/>
        <scheme val="minor"/>
      </font>
      <fill>
        <patternFill patternType="solid">
          <fgColor indexed="64"/>
          <bgColor theme="3" tint="0.39997558519241921"/>
        </patternFill>
      </fill>
      <border diagonalUp="0" diagonalDown="0" outline="0">
        <left/>
        <right style="thin">
          <color indexed="64"/>
        </right>
        <top/>
        <bottom style="thin">
          <color indexed="64"/>
        </bottom>
      </border>
    </dxf>
    <dxf>
      <font>
        <b/>
      </font>
      <numFmt numFmtId="35" formatCode="_-* #,##0.00_-;\-* #,##0.00_-;_-* &quot;-&quot;??_-;_-@_-"/>
      <fill>
        <patternFill patternType="none">
          <fgColor indexed="64"/>
          <bgColor indexed="65"/>
        </patternFill>
      </fill>
      <border diagonalUp="0" diagonalDown="0">
        <left style="thin">
          <color theme="0"/>
        </left>
        <right style="thin">
          <color theme="0"/>
        </right>
        <top/>
        <bottom style="thin">
          <color theme="0"/>
        </bottom>
        <vertical/>
        <horizontal/>
      </border>
      <protection locked="1" hidden="0"/>
    </dxf>
    <dxf>
      <font>
        <b/>
        <i val="0"/>
        <strike val="0"/>
        <condense val="0"/>
        <extend val="0"/>
        <outline val="0"/>
        <shadow val="0"/>
        <u val="none"/>
        <vertAlign val="baseline"/>
        <sz val="11"/>
        <color theme="1"/>
        <name val="Calibri"/>
        <family val="2"/>
        <scheme val="minor"/>
      </font>
      <fill>
        <patternFill patternType="solid">
          <fgColor indexed="64"/>
          <bgColor theme="3" tint="0.39997558519241921"/>
        </patternFill>
      </fill>
      <border diagonalUp="0" diagonalDown="0" outline="0">
        <left/>
        <right style="thin">
          <color indexed="64"/>
        </right>
        <top/>
        <bottom style="thin">
          <color indexed="64"/>
        </bottom>
      </border>
    </dxf>
    <dxf>
      <font>
        <b/>
      </font>
      <numFmt numFmtId="35" formatCode="_-* #,##0.00_-;\-* #,##0.00_-;_-* &quot;-&quot;??_-;_-@_-"/>
      <fill>
        <patternFill patternType="none">
          <fgColor indexed="64"/>
          <bgColor indexed="65"/>
        </patternFill>
      </fill>
      <border diagonalUp="0" diagonalDown="0">
        <left style="thin">
          <color theme="0"/>
        </left>
        <right style="thin">
          <color theme="0"/>
        </right>
        <top/>
        <bottom style="thin">
          <color theme="0"/>
        </bottom>
        <vertical/>
        <horizontal/>
      </border>
      <protection locked="1" hidden="0"/>
    </dxf>
    <dxf>
      <font>
        <b/>
        <i val="0"/>
        <strike val="0"/>
        <condense val="0"/>
        <extend val="0"/>
        <outline val="0"/>
        <shadow val="0"/>
        <u val="none"/>
        <vertAlign val="baseline"/>
        <sz val="11"/>
        <color theme="1"/>
        <name val="Calibri"/>
        <family val="2"/>
        <scheme val="minor"/>
      </font>
      <fill>
        <patternFill patternType="solid">
          <fgColor indexed="64"/>
          <bgColor theme="3" tint="0.39997558519241921"/>
        </patternFill>
      </fill>
      <border diagonalUp="0" diagonalDown="0" outline="0">
        <left/>
        <right style="thin">
          <color indexed="64"/>
        </right>
        <top/>
        <bottom style="thin">
          <color indexed="64"/>
        </bottom>
      </border>
    </dxf>
    <dxf>
      <font>
        <b/>
      </font>
      <numFmt numFmtId="35" formatCode="_-* #,##0.00_-;\-* #,##0.00_-;_-* &quot;-&quot;??_-;_-@_-"/>
      <fill>
        <patternFill patternType="none">
          <fgColor indexed="64"/>
          <bgColor indexed="65"/>
        </patternFill>
      </fill>
      <border diagonalUp="0" diagonalDown="0">
        <left style="thin">
          <color theme="0"/>
        </left>
        <right style="thin">
          <color theme="0"/>
        </right>
        <top/>
        <bottom style="thin">
          <color theme="0"/>
        </bottom>
        <vertical/>
        <horizontal/>
      </border>
      <protection locked="1" hidden="0"/>
    </dxf>
    <dxf>
      <font>
        <b/>
        <i val="0"/>
        <strike val="0"/>
        <condense val="0"/>
        <extend val="0"/>
        <outline val="0"/>
        <shadow val="0"/>
        <u val="none"/>
        <vertAlign val="baseline"/>
        <sz val="11"/>
        <color theme="1"/>
        <name val="Calibri"/>
        <family val="2"/>
        <scheme val="minor"/>
      </font>
      <fill>
        <patternFill patternType="solid">
          <fgColor indexed="64"/>
          <bgColor theme="3" tint="0.39997558519241921"/>
        </patternFill>
      </fill>
      <border diagonalUp="0" diagonalDown="0" outline="0">
        <left/>
        <right style="thin">
          <color indexed="64"/>
        </right>
        <top/>
        <bottom style="thin">
          <color indexed="64"/>
        </bottom>
      </border>
    </dxf>
    <dxf>
      <font>
        <b/>
      </font>
      <numFmt numFmtId="35" formatCode="_-* #,##0.00_-;\-* #,##0.00_-;_-* &quot;-&quot;??_-;_-@_-"/>
      <fill>
        <patternFill patternType="none">
          <fgColor indexed="64"/>
          <bgColor indexed="65"/>
        </patternFill>
      </fill>
      <border diagonalUp="0" diagonalDown="0">
        <left style="thin">
          <color theme="0"/>
        </left>
        <right style="thin">
          <color theme="0"/>
        </right>
        <top/>
        <bottom style="thin">
          <color theme="0"/>
        </bottom>
        <vertical/>
        <horizontal/>
      </border>
      <protection locked="1" hidden="0"/>
    </dxf>
    <dxf>
      <font>
        <b/>
        <i val="0"/>
        <strike val="0"/>
        <condense val="0"/>
        <extend val="0"/>
        <outline val="0"/>
        <shadow val="0"/>
        <u val="none"/>
        <vertAlign val="baseline"/>
        <sz val="11"/>
        <color theme="1"/>
        <name val="Calibri"/>
        <family val="2"/>
        <scheme val="minor"/>
      </font>
      <fill>
        <patternFill patternType="solid">
          <fgColor indexed="64"/>
          <bgColor theme="3" tint="0.39997558519241921"/>
        </patternFill>
      </fill>
      <border diagonalUp="0" diagonalDown="0" outline="0">
        <left/>
        <right style="thin">
          <color indexed="64"/>
        </right>
        <top/>
        <bottom style="thin">
          <color indexed="64"/>
        </bottom>
      </border>
    </dxf>
    <dxf>
      <font>
        <b/>
      </font>
      <numFmt numFmtId="35" formatCode="_-* #,##0.00_-;\-* #,##0.00_-;_-* &quot;-&quot;??_-;_-@_-"/>
      <fill>
        <patternFill patternType="none">
          <fgColor indexed="64"/>
          <bgColor indexed="65"/>
        </patternFill>
      </fill>
      <border diagonalUp="0" diagonalDown="0">
        <left style="thin">
          <color theme="0"/>
        </left>
        <right style="thin">
          <color theme="0"/>
        </right>
        <top/>
        <bottom style="thin">
          <color theme="0"/>
        </bottom>
        <vertical/>
        <horizontal/>
      </border>
      <protection locked="1" hidden="0"/>
    </dxf>
    <dxf>
      <font>
        <b/>
        <i val="0"/>
        <strike val="0"/>
        <condense val="0"/>
        <extend val="0"/>
        <outline val="0"/>
        <shadow val="0"/>
        <u val="none"/>
        <vertAlign val="baseline"/>
        <sz val="11"/>
        <color theme="1"/>
        <name val="Calibri"/>
        <family val="2"/>
        <scheme val="minor"/>
      </font>
      <fill>
        <patternFill patternType="solid">
          <fgColor indexed="64"/>
          <bgColor theme="3" tint="0.39997558519241921"/>
        </patternFill>
      </fill>
      <border diagonalUp="0" diagonalDown="0" outline="0">
        <left/>
        <right style="thin">
          <color indexed="64"/>
        </right>
        <top/>
        <bottom style="thin">
          <color indexed="64"/>
        </bottom>
      </border>
    </dxf>
    <dxf>
      <font>
        <b/>
      </font>
      <numFmt numFmtId="35" formatCode="_-* #,##0.00_-;\-* #,##0.00_-;_-* &quot;-&quot;??_-;_-@_-"/>
      <fill>
        <patternFill patternType="none">
          <fgColor indexed="64"/>
          <bgColor indexed="65"/>
        </patternFill>
      </fill>
      <border diagonalUp="0" diagonalDown="0">
        <left style="thin">
          <color theme="0"/>
        </left>
        <right style="thin">
          <color theme="0"/>
        </right>
        <top/>
        <bottom style="thin">
          <color theme="0"/>
        </bottom>
        <vertical/>
        <horizontal/>
      </border>
      <protection locked="1" hidden="0"/>
    </dxf>
    <dxf>
      <font>
        <b/>
        <i val="0"/>
        <strike val="0"/>
        <condense val="0"/>
        <extend val="0"/>
        <outline val="0"/>
        <shadow val="0"/>
        <u val="none"/>
        <vertAlign val="baseline"/>
        <sz val="11"/>
        <color theme="1"/>
        <name val="Calibri"/>
        <family val="2"/>
        <scheme val="minor"/>
      </font>
      <fill>
        <patternFill patternType="solid">
          <fgColor indexed="64"/>
          <bgColor theme="3" tint="0.39997558519241921"/>
        </patternFill>
      </fill>
      <border diagonalUp="0" diagonalDown="0" outline="0">
        <left/>
        <right style="thin">
          <color indexed="64"/>
        </right>
        <top/>
        <bottom style="thin">
          <color indexed="64"/>
        </bottom>
      </border>
    </dxf>
    <dxf>
      <font>
        <b/>
      </font>
      <numFmt numFmtId="35" formatCode="_-* #,##0.00_-;\-* #,##0.00_-;_-* &quot;-&quot;??_-;_-@_-"/>
      <fill>
        <patternFill patternType="none">
          <fgColor indexed="64"/>
          <bgColor indexed="65"/>
        </patternFill>
      </fill>
      <border diagonalUp="0" diagonalDown="0">
        <left style="thin">
          <color theme="0"/>
        </left>
        <right style="thin">
          <color theme="0"/>
        </right>
        <top/>
        <bottom style="thin">
          <color theme="0"/>
        </bottom>
        <vertical/>
        <horizontal/>
      </border>
      <protection locked="1" hidden="0"/>
    </dxf>
    <dxf>
      <font>
        <b/>
        <i val="0"/>
        <strike val="0"/>
        <condense val="0"/>
        <extend val="0"/>
        <outline val="0"/>
        <shadow val="0"/>
        <u val="none"/>
        <vertAlign val="baseline"/>
        <sz val="11"/>
        <color theme="1"/>
        <name val="Calibri"/>
        <family val="2"/>
        <scheme val="minor"/>
      </font>
      <fill>
        <patternFill patternType="solid">
          <fgColor indexed="64"/>
          <bgColor theme="3" tint="0.39997558519241921"/>
        </patternFill>
      </fill>
      <border diagonalUp="0" diagonalDown="0" outline="0">
        <left/>
        <right style="thin">
          <color indexed="64"/>
        </right>
        <top/>
        <bottom style="thin">
          <color indexed="64"/>
        </bottom>
      </border>
    </dxf>
    <dxf>
      <font>
        <b/>
        <i val="0"/>
        <strike val="0"/>
        <condense val="0"/>
        <extend val="0"/>
        <outline val="0"/>
        <shadow val="0"/>
        <u val="none"/>
        <vertAlign val="baseline"/>
        <sz val="11"/>
        <color theme="1"/>
        <name val="Calibri"/>
        <family val="2"/>
        <scheme val="minor"/>
      </font>
      <numFmt numFmtId="35" formatCode="_-* #,##0.00_-;\-* #,##0.00_-;_-* &quot;-&quot;??_-;_-@_-"/>
      <fill>
        <patternFill patternType="none">
          <fgColor indexed="64"/>
          <bgColor auto="1"/>
        </patternFill>
      </fill>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1" hidden="0"/>
    </dxf>
    <dxf>
      <font>
        <b/>
        <i val="0"/>
        <strike val="0"/>
        <condense val="0"/>
        <extend val="0"/>
        <outline val="0"/>
        <shadow val="0"/>
        <u val="none"/>
        <vertAlign val="baseline"/>
        <sz val="11"/>
        <color theme="1"/>
        <name val="Calibri"/>
        <family val="2"/>
        <scheme val="minor"/>
      </font>
      <fill>
        <patternFill patternType="solid">
          <fgColor indexed="64"/>
          <bgColor theme="3" tint="0.39997558519241921"/>
        </patternFill>
      </fill>
      <border diagonalUp="0" diagonalDown="0" outline="0">
        <left/>
        <right style="thin">
          <color indexed="64"/>
        </right>
        <top/>
        <bottom style="thin">
          <color indexed="64"/>
        </bottom>
      </border>
    </dxf>
    <dxf>
      <fill>
        <patternFill patternType="none">
          <fgColor indexed="64"/>
          <bgColor auto="1"/>
        </patternFill>
      </fill>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1" hidden="0"/>
    </dxf>
    <dxf>
      <font>
        <b/>
        <i val="0"/>
        <strike val="0"/>
        <condense val="0"/>
        <extend val="0"/>
        <outline val="0"/>
        <shadow val="0"/>
        <u val="none"/>
        <vertAlign val="baseline"/>
        <sz val="11"/>
        <color theme="1"/>
        <name val="Calibri"/>
        <family val="2"/>
        <scheme val="minor"/>
      </font>
      <fill>
        <patternFill patternType="solid">
          <fgColor indexed="64"/>
          <bgColor theme="3" tint="0.39997558519241921"/>
        </patternFill>
      </fill>
      <border diagonalUp="0" diagonalDown="0" outline="0">
        <left/>
        <right style="thin">
          <color indexed="64"/>
        </right>
        <top/>
        <bottom style="thin">
          <color indexed="64"/>
        </bottom>
      </border>
    </dxf>
    <dxf>
      <fill>
        <patternFill patternType="none">
          <fgColor indexed="64"/>
          <bgColor auto="1"/>
        </patternFill>
      </fill>
      <border diagonalUp="0" diagonalDown="0" outline="0">
        <left/>
        <right style="thin">
          <color theme="0"/>
        </right>
        <top style="thin">
          <color theme="0"/>
        </top>
        <bottom style="thin">
          <color theme="0"/>
        </bottom>
      </border>
      <protection locked="1" hidden="0"/>
    </dxf>
    <dxf>
      <font>
        <b/>
        <i val="0"/>
        <strike val="0"/>
        <condense val="0"/>
        <extend val="0"/>
        <outline val="0"/>
        <shadow val="0"/>
        <u val="none"/>
        <vertAlign val="baseline"/>
        <sz val="11"/>
        <color theme="1"/>
        <name val="Calibri"/>
        <family val="2"/>
        <scheme val="minor"/>
      </font>
      <fill>
        <patternFill patternType="solid">
          <fgColor indexed="64"/>
          <bgColor theme="3" tint="0.39997558519241921"/>
        </patternFill>
      </fill>
      <border diagonalUp="0" diagonalDown="0" outline="0">
        <left/>
        <right/>
        <top/>
        <bottom style="thin">
          <color indexed="64"/>
        </bottom>
      </border>
    </dxf>
    <dxf>
      <border>
        <top style="thin">
          <color theme="0"/>
        </top>
      </border>
    </dxf>
    <dxf>
      <border diagonalUp="0" diagonalDown="0">
        <left style="thin">
          <color theme="0"/>
        </left>
        <right style="thin">
          <color theme="0"/>
        </right>
        <top style="thin">
          <color theme="0"/>
        </top>
        <bottom style="thin">
          <color theme="0"/>
        </bottom>
      </border>
    </dxf>
    <dxf>
      <fill>
        <patternFill patternType="none">
          <fgColor indexed="64"/>
          <bgColor auto="1"/>
        </patternFill>
      </fill>
      <protection locked="1" hidden="0"/>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left style="thin">
          <color theme="0"/>
        </left>
        <right style="thin">
          <color theme="0"/>
        </right>
        <top/>
        <bottom/>
        <vertical style="thin">
          <color theme="0"/>
        </vertical>
        <horizontal style="thin">
          <color theme="0"/>
        </horizontal>
      </border>
      <protection locked="1" hidden="0"/>
    </dxf>
    <dxf>
      <font>
        <b/>
        <i/>
        <color theme="9" tint="-0.24994659260841701"/>
      </font>
    </dxf>
    <dxf>
      <font>
        <b/>
        <i/>
        <color theme="9" tint="-0.24994659260841701"/>
      </font>
    </dxf>
    <dxf>
      <font>
        <b/>
        <i/>
        <color theme="9" tint="-0.24994659260841701"/>
      </font>
    </dxf>
    <dxf>
      <font>
        <b/>
        <i/>
        <color theme="9" tint="-0.24994659260841701"/>
      </font>
    </dxf>
    <dxf>
      <font>
        <b/>
        <i/>
        <color theme="9" tint="-0.24994659260841701"/>
      </font>
    </dxf>
    <dxf>
      <font>
        <b/>
        <i/>
        <color theme="9" tint="-0.24994659260841701"/>
      </font>
    </dxf>
    <dxf>
      <font>
        <b/>
        <i/>
        <color theme="9" tint="-0.24994659260841701"/>
      </font>
    </dxf>
    <dxf>
      <font>
        <b/>
        <i/>
        <color theme="9" tint="-0.24994659260841701"/>
      </font>
    </dxf>
    <dxf>
      <font>
        <b/>
        <i/>
        <color theme="9" tint="-0.24994659260841701"/>
      </font>
    </dxf>
    <dxf>
      <font>
        <b/>
        <i/>
        <color theme="9" tint="-0.24994659260841701"/>
      </font>
    </dxf>
    <dxf>
      <font>
        <b/>
        <i/>
        <color theme="9" tint="-0.24994659260841701"/>
      </font>
    </dxf>
    <dxf>
      <font>
        <b/>
        <i/>
        <color theme="9" tint="-0.24994659260841701"/>
      </font>
    </dxf>
    <dxf>
      <font>
        <b/>
        <i/>
        <color theme="9" tint="0.39994506668294322"/>
      </font>
    </dxf>
    <dxf>
      <font>
        <b/>
        <i/>
        <color theme="9" tint="0.39994506668294322"/>
      </font>
    </dxf>
    <dxf>
      <font>
        <b/>
        <i/>
        <color theme="9" tint="0.39994506668294322"/>
      </font>
    </dxf>
    <dxf>
      <font>
        <b/>
        <i/>
        <color theme="9" tint="0.39994506668294322"/>
      </font>
    </dxf>
    <dxf>
      <font>
        <b/>
        <i/>
        <color theme="9" tint="0.39994506668294322"/>
      </font>
    </dxf>
    <dxf>
      <font>
        <b/>
        <i/>
        <color theme="9" tint="0.39994506668294322"/>
      </font>
    </dxf>
    <dxf>
      <font>
        <b val="0"/>
        <i val="0"/>
        <strike val="0"/>
        <condense val="0"/>
        <extend val="0"/>
        <outline val="0"/>
        <shadow val="0"/>
        <u val="none"/>
        <vertAlign val="baseline"/>
        <sz val="11"/>
        <color theme="1"/>
        <name val="Calibri"/>
        <family val="2"/>
        <scheme val="minor"/>
      </font>
      <protection locked="1" hidden="0"/>
    </dxf>
    <dxf>
      <font>
        <b val="0"/>
        <i val="0"/>
        <strike val="0"/>
        <condense val="0"/>
        <extend val="0"/>
        <outline val="0"/>
        <shadow val="0"/>
        <u val="none"/>
        <vertAlign val="baseline"/>
        <sz val="11"/>
        <color theme="1"/>
        <name val="Calibri"/>
        <family val="2"/>
        <scheme val="minor"/>
      </font>
      <protection locked="1" hidden="0"/>
    </dxf>
    <dxf>
      <font>
        <b val="0"/>
        <i val="0"/>
        <strike val="0"/>
        <condense val="0"/>
        <extend val="0"/>
        <outline val="0"/>
        <shadow val="0"/>
        <u val="none"/>
        <vertAlign val="baseline"/>
        <sz val="11"/>
        <color theme="1"/>
        <name val="Calibri"/>
        <family val="2"/>
        <scheme val="minor"/>
      </font>
      <protection locked="1" hidden="0"/>
    </dxf>
    <dxf>
      <font>
        <b val="0"/>
        <i val="0"/>
        <strike val="0"/>
        <condense val="0"/>
        <extend val="0"/>
        <outline val="0"/>
        <shadow val="0"/>
        <u val="none"/>
        <vertAlign val="baseline"/>
        <sz val="11"/>
        <color theme="1"/>
        <name val="Calibri"/>
        <family val="2"/>
        <scheme val="minor"/>
      </font>
      <protection locked="1" hidden="0"/>
    </dxf>
    <dxf>
      <font>
        <b val="0"/>
        <i val="0"/>
        <strike val="0"/>
        <condense val="0"/>
        <extend val="0"/>
        <outline val="0"/>
        <shadow val="0"/>
        <u val="none"/>
        <vertAlign val="baseline"/>
        <sz val="11"/>
        <color rgb="FFFFC000"/>
        <name val="Calibri"/>
        <family val="2"/>
        <scheme val="minor"/>
      </font>
      <numFmt numFmtId="0" formatCode="General"/>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rgb="FFFFC000"/>
        <name val="Calibri"/>
        <family val="2"/>
        <scheme val="minor"/>
      </font>
      <numFmt numFmtId="19" formatCode="dd/mm/yyyy"/>
      <protection locked="1" hidden="0"/>
    </dxf>
    <dxf>
      <font>
        <b val="0"/>
        <i val="0"/>
        <strike val="0"/>
        <condense val="0"/>
        <extend val="0"/>
        <outline val="0"/>
        <shadow val="0"/>
        <u val="none"/>
        <vertAlign val="baseline"/>
        <sz val="11"/>
        <color rgb="FFFFC000"/>
        <name val="Calibri"/>
        <family val="2"/>
        <scheme val="minor"/>
      </font>
      <numFmt numFmtId="21" formatCode="dd/mmm"/>
      <protection locked="1" hidden="0"/>
    </dxf>
    <dxf>
      <font>
        <b val="0"/>
        <i val="0"/>
        <strike val="0"/>
        <condense val="0"/>
        <extend val="0"/>
        <outline val="0"/>
        <shadow val="0"/>
        <u val="none"/>
        <vertAlign val="baseline"/>
        <sz val="11"/>
        <color theme="0"/>
        <name val="Calibri"/>
        <family val="2"/>
        <scheme val="minor"/>
      </font>
      <numFmt numFmtId="19" formatCode="dd/mm/yyyy"/>
      <alignment horizontal="general" vertical="bottom" textRotation="0" wrapText="1" indent="0" justifyLastLine="0" shrinkToFit="0" readingOrder="0"/>
      <protection locked="1" hidden="0"/>
    </dxf>
    <dxf>
      <font>
        <strike val="0"/>
        <outline val="0"/>
        <shadow val="0"/>
        <u val="none"/>
        <vertAlign val="baseline"/>
        <sz val="11"/>
        <name val="Calibri"/>
        <family val="2"/>
        <scheme val="minor"/>
      </font>
      <protection locked="1" hidden="0"/>
    </dxf>
    <dxf>
      <font>
        <strike val="0"/>
        <outline val="0"/>
        <shadow val="0"/>
        <u val="none"/>
        <vertAlign val="baseline"/>
        <sz val="11"/>
        <name val="Calibri"/>
        <family val="2"/>
        <scheme val="minor"/>
      </font>
      <protection locked="1" hidden="0"/>
    </dxf>
    <dxf>
      <font>
        <strike val="0"/>
        <outline val="0"/>
        <shadow val="0"/>
        <u val="none"/>
        <vertAlign val="baseline"/>
        <sz val="11"/>
        <name val="Calibri"/>
        <family val="2"/>
        <scheme val="minor"/>
      </font>
      <protection locked="1" hidden="0"/>
    </dxf>
    <dxf>
      <font>
        <strike val="0"/>
        <outline val="0"/>
        <shadow val="0"/>
        <u val="none"/>
        <vertAlign val="baseline"/>
        <sz val="11"/>
        <name val="Calibri"/>
        <family val="2"/>
        <scheme val="minor"/>
      </font>
      <numFmt numFmtId="0" formatCode="General"/>
      <protection locked="1" hidden="0"/>
    </dxf>
    <dxf>
      <font>
        <strike val="0"/>
        <outline val="0"/>
        <shadow val="0"/>
        <u val="none"/>
        <vertAlign val="baseline"/>
        <sz val="11"/>
        <name val="Calibri"/>
        <family val="2"/>
        <scheme val="minor"/>
      </font>
      <numFmt numFmtId="0" formatCode="General"/>
      <protection locked="1" hidden="0"/>
    </dxf>
    <dxf>
      <font>
        <strike val="0"/>
        <outline val="0"/>
        <shadow val="0"/>
        <u val="none"/>
        <vertAlign val="baseline"/>
        <sz val="11"/>
        <name val="Calibri"/>
        <family val="2"/>
        <scheme val="minor"/>
      </font>
      <protection locked="1" hidden="0"/>
    </dxf>
    <dxf>
      <font>
        <strike val="0"/>
        <outline val="0"/>
        <shadow val="0"/>
        <u val="none"/>
        <vertAlign val="baseline"/>
        <sz val="11"/>
        <name val="Calibri"/>
        <family val="2"/>
        <scheme val="minor"/>
      </font>
      <protection locked="1" hidden="0"/>
    </dxf>
    <dxf>
      <protection locked="1" hidden="0"/>
    </dxf>
    <dxf>
      <protection locked="1" hidden="0"/>
    </dxf>
    <dxf>
      <font>
        <b val="0"/>
        <i val="0"/>
        <strike val="0"/>
        <condense val="0"/>
        <extend val="0"/>
        <outline val="0"/>
        <shadow val="0"/>
        <u val="none"/>
        <vertAlign val="baseline"/>
        <sz val="11"/>
        <color theme="1"/>
        <name val="Calibri"/>
        <family val="2"/>
        <scheme val="minor"/>
      </font>
      <numFmt numFmtId="35" formatCode="_-* #,##0.00_-;\-* #,##0.00_-;_-* &quot;-&quot;??_-;_-@_-"/>
      <protection locked="1" hidden="0"/>
    </dxf>
    <dxf>
      <protection locked="1" hidden="0"/>
    </dxf>
    <dxf>
      <protection locked="1" hidden="0"/>
    </dxf>
    <dxf>
      <protection locked="1" hidden="0"/>
    </dxf>
    <dxf>
      <alignment horizontal="left" vertical="bottom" textRotation="0" wrapText="0" indent="0" justifyLastLine="0" shrinkToFit="0" readingOrder="0"/>
      <protection locked="1" hidden="0"/>
    </dxf>
    <dxf>
      <alignment horizontal="left" vertical="bottom" textRotation="0" wrapText="0" indent="0" justifyLastLine="0" shrinkToFit="0" readingOrder="0"/>
      <protection locked="1" hidden="0"/>
    </dxf>
    <dxf>
      <protection locked="1" hidden="0"/>
    </dxf>
    <dxf>
      <protection locked="1" hidden="0"/>
    </dxf>
    <dxf>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26"/>
    </mc:Choice>
    <mc:Fallback>
      <c:style val="26"/>
    </mc:Fallback>
  </mc:AlternateContent>
  <c:pivotSource>
    <c:name>[Planilha-Controle-de-gastos-e-receitas.xlsx]Painel!Tabela dinâmica2</c:name>
    <c:fmtId val="0"/>
  </c:pivotSource>
  <c:chart>
    <c:title>
      <c:tx>
        <c:rich>
          <a:bodyPr/>
          <a:lstStyle/>
          <a:p>
            <a:pPr>
              <a:defRPr/>
            </a:pPr>
            <a:r>
              <a:rPr lang="en-US"/>
              <a:t>%</a:t>
            </a:r>
            <a:r>
              <a:rPr lang="en-US" baseline="0"/>
              <a:t> Despesas por grupo</a:t>
            </a:r>
            <a:endParaRPr lang="en-US"/>
          </a:p>
        </c:rich>
      </c:tx>
      <c:overlay val="0"/>
    </c:title>
    <c:autoTitleDeleted val="0"/>
    <c:pivotFmts>
      <c:pivotFmt>
        <c:idx val="0"/>
        <c:marker>
          <c:symbol val="none"/>
        </c:marker>
        <c:dLbl>
          <c:idx val="0"/>
          <c:spPr/>
          <c:txPr>
            <a:bodyPr/>
            <a:lstStyle/>
            <a:p>
              <a:pPr>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1"/>
        <c:marker>
          <c:symbol val="none"/>
        </c:marker>
        <c:dLbl>
          <c:idx val="0"/>
          <c:spPr>
            <a:noFill/>
            <a:ln>
              <a:noFill/>
            </a:ln>
            <a:effectLst/>
          </c:spPr>
          <c:txPr>
            <a:bodyPr wrap="square" lIns="38100" tIns="19050" rIns="38100" bIns="19050" anchor="ctr">
              <a:spAutoFit/>
            </a:bodyPr>
            <a:lstStyle/>
            <a:p>
              <a:pPr>
                <a:defRPr b="1"/>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s>
    <c:plotArea>
      <c:layout/>
      <c:pieChart>
        <c:varyColors val="1"/>
        <c:ser>
          <c:idx val="0"/>
          <c:order val="0"/>
          <c:tx>
            <c:strRef>
              <c:f>Painel!$B$6</c:f>
              <c:strCache>
                <c:ptCount val="1"/>
                <c:pt idx="0">
                  <c:v>Total</c:v>
                </c:pt>
              </c:strCache>
            </c:strRef>
          </c:tx>
          <c:explosion val="25"/>
          <c:dLbls>
            <c:spPr>
              <a:noFill/>
              <a:ln>
                <a:noFill/>
              </a:ln>
              <a:effectLst/>
            </c:spPr>
            <c:txPr>
              <a:bodyPr wrap="square" lIns="38100" tIns="19050" rIns="38100" bIns="19050" anchor="ctr">
                <a:spAutoFit/>
              </a:bodyPr>
              <a:lstStyle/>
              <a:p>
                <a:pPr>
                  <a:defRPr b="1"/>
                </a:pPr>
                <a:endParaRPr lang="pt-BR"/>
              </a:p>
            </c:txPr>
            <c:showLegendKey val="0"/>
            <c:showVal val="0"/>
            <c:showCatName val="0"/>
            <c:showSerName val="0"/>
            <c:showPercent val="1"/>
            <c:showBubbleSize val="0"/>
            <c:showLeaderLines val="1"/>
            <c:extLst>
              <c:ext xmlns:c15="http://schemas.microsoft.com/office/drawing/2012/chart" uri="{CE6537A1-D6FC-4f65-9D91-7224C49458BB}"/>
            </c:extLst>
          </c:dLbls>
          <c:cat>
            <c:strRef>
              <c:f>Painel!$A$7:$A$10</c:f>
              <c:strCache>
                <c:ptCount val="3"/>
                <c:pt idx="0">
                  <c:v>Moradia</c:v>
                </c:pt>
                <c:pt idx="1">
                  <c:v>Transporte</c:v>
                </c:pt>
                <c:pt idx="2">
                  <c:v>Empréstimos e Cartões</c:v>
                </c:pt>
              </c:strCache>
            </c:strRef>
          </c:cat>
          <c:val>
            <c:numRef>
              <c:f>Painel!$B$7:$B$10</c:f>
              <c:numCache>
                <c:formatCode>#,##0</c:formatCode>
                <c:ptCount val="3"/>
                <c:pt idx="0">
                  <c:v>6120.51</c:v>
                </c:pt>
                <c:pt idx="1">
                  <c:v>1105.8800000000001</c:v>
                </c:pt>
                <c:pt idx="2">
                  <c:v>0</c:v>
                </c:pt>
              </c:numCache>
            </c:numRef>
          </c:val>
          <c:extLst>
            <c:ext xmlns:c16="http://schemas.microsoft.com/office/drawing/2014/chart" uri="{C3380CC4-5D6E-409C-BE32-E72D297353CC}">
              <c16:uniqueId val="{00000000-7C03-4D53-B241-1B7273D1C964}"/>
            </c:ext>
          </c:extLst>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8740157499999996" l="0.511811024" r="0.511811024" t="0.78740157499999996" header="0.31496062000000002" footer="0.31496062000000002"/>
    <c:pageSetup paperSize="9" orientation="landscape"/>
  </c:printSettings>
  <c:extLst>
    <c:ext xmlns:c14="http://schemas.microsoft.com/office/drawing/2007/8/2/chart" uri="{781A3756-C4B2-4CAC-9D66-4F8BD8637D16}">
      <c14:pivotOptions>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[Planilha-Controle-de-gastos-e-receitas.xlsx]Painel!Tabela dinâmica1</c:name>
    <c:fmtId val="0"/>
  </c:pivotSource>
  <c:chart>
    <c:title>
      <c:tx>
        <c:rich>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r>
              <a:rPr lang="en-US">
                <a:solidFill>
                  <a:sysClr val="windowText" lastClr="000000"/>
                </a:solidFill>
              </a:rPr>
              <a:t>% Despesas por centro de custo</a:t>
            </a:r>
          </a:p>
        </c:rich>
      </c:tx>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pt-BR"/>
        </a:p>
      </c:txPr>
    </c:title>
    <c:autoTitleDeleted val="0"/>
    <c:pivotFmts>
      <c:pivotFmt>
        <c:idx val="0"/>
      </c:pivotFmt>
      <c:pivotFmt>
        <c:idx val="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pivotFmt>
      <c:pivotFmt>
        <c:idx val="3"/>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pivotFmt>
      <c:pivotFmt>
        <c:idx val="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pivotFmt>
    </c:pivotFmts>
    <c:plotArea>
      <c:layout/>
      <c:pieChart>
        <c:varyColors val="1"/>
        <c:ser>
          <c:idx val="0"/>
          <c:order val="0"/>
          <c:tx>
            <c:strRef>
              <c:f>Painel!$L$7</c:f>
              <c:strCache>
                <c:ptCount val="1"/>
                <c:pt idx="0">
                  <c:v>Total</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AAAC-4926-AD68-DA4DCFBCA79C}"/>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AAAC-4926-AD68-DA4DCFBCA79C}"/>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86AB-49C3-9EFE-9A247E3D2AC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pt-B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Painel!$K$8:$K$11</c:f>
              <c:strCache>
                <c:ptCount val="3"/>
                <c:pt idx="0">
                  <c:v>Particular</c:v>
                </c:pt>
                <c:pt idx="1">
                  <c:v>Empresa</c:v>
                </c:pt>
                <c:pt idx="2">
                  <c:v>#N/D</c:v>
                </c:pt>
              </c:strCache>
            </c:strRef>
          </c:cat>
          <c:val>
            <c:numRef>
              <c:f>Painel!$L$8:$L$11</c:f>
              <c:numCache>
                <c:formatCode>#,##0.00</c:formatCode>
                <c:ptCount val="3"/>
                <c:pt idx="0">
                  <c:v>14184.319999999996</c:v>
                </c:pt>
                <c:pt idx="1">
                  <c:v>631.6</c:v>
                </c:pt>
              </c:numCache>
            </c:numRef>
          </c:val>
          <c:extLst>
            <c:ext xmlns:c16="http://schemas.microsoft.com/office/drawing/2014/chart" uri="{C3380CC4-5D6E-409C-BE32-E72D297353CC}">
              <c16:uniqueId val="{00000000-3AF6-4FAD-836E-2EB5788BA8AA}"/>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4">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oiana.com.br/" TargetMode="External"/></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47625</xdr:colOff>
      <xdr:row>1</xdr:row>
      <xdr:rowOff>57150</xdr:rowOff>
    </xdr:from>
    <xdr:ext cx="12620624" cy="9429750"/>
    <xdr:sp macro="" textlink="">
      <xdr:nvSpPr>
        <xdr:cNvPr id="2" name="CaixaDeTexto 1">
          <a:extLst>
            <a:ext uri="{FF2B5EF4-FFF2-40B4-BE49-F238E27FC236}">
              <a16:creationId xmlns:a16="http://schemas.microsoft.com/office/drawing/2014/main" id="{170878D6-A8FE-4CCE-A606-9E4BAEFBE83E}"/>
            </a:ext>
          </a:extLst>
        </xdr:cNvPr>
        <xdr:cNvSpPr txBox="1"/>
      </xdr:nvSpPr>
      <xdr:spPr>
        <a:xfrm>
          <a:off x="47625" y="723900"/>
          <a:ext cx="12620624" cy="9429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tIns="180000" rIns="180000" bIns="180000" rtlCol="0" anchor="t">
          <a:noAutofit/>
        </a:bodyPr>
        <a:lstStyle/>
        <a:p>
          <a:r>
            <a:rPr lang="pt-BR" sz="1800" b="0" i="0" u="none" strike="noStrike">
              <a:solidFill>
                <a:schemeClr val="accent4">
                  <a:lumMod val="75000"/>
                </a:schemeClr>
              </a:solidFill>
              <a:effectLst/>
              <a:latin typeface="Arial" panose="020B0604020202020204" pitchFamily="34" charset="0"/>
              <a:ea typeface="+mn-ea"/>
              <a:cs typeface="Arial" panose="020B0604020202020204" pitchFamily="34" charset="0"/>
            </a:rPr>
            <a:t>Introdução</a:t>
          </a:r>
          <a:r>
            <a:rPr lang="pt-BR" sz="1800">
              <a:solidFill>
                <a:schemeClr val="accent4">
                  <a:lumMod val="75000"/>
                </a:schemeClr>
              </a:solidFill>
            </a:rPr>
            <a:t> </a:t>
          </a:r>
        </a:p>
        <a:p>
          <a:endParaRPr lang="pt-BR" sz="2000">
            <a:solidFill>
              <a:srgbClr val="4983BB"/>
            </a:solidFill>
            <a:latin typeface="Arial" panose="020B0604020202020204" pitchFamily="34" charset="0"/>
            <a:cs typeface="Arial" panose="020B0604020202020204" pitchFamily="34" charset="0"/>
          </a:endParaRPr>
        </a:p>
        <a:p>
          <a:pPr eaLnBrk="1" fontAlgn="auto" latinLnBrk="0" hangingPunct="1">
            <a:lnSpc>
              <a:spcPct val="150000"/>
            </a:lnSpc>
          </a:pPr>
          <a:r>
            <a:rPr lang="pt-BR" sz="1100">
              <a:solidFill>
                <a:srgbClr val="414042"/>
              </a:solidFill>
              <a:latin typeface="Arial" panose="020B0604020202020204" pitchFamily="34" charset="0"/>
              <a:ea typeface="+mn-ea"/>
              <a:cs typeface="Arial" panose="020B0604020202020204" pitchFamily="34" charset="0"/>
            </a:rPr>
            <a:t>Se</a:t>
          </a:r>
          <a:r>
            <a:rPr lang="pt-BR" sz="1100" baseline="0">
              <a:solidFill>
                <a:srgbClr val="414042"/>
              </a:solidFill>
              <a:latin typeface="Arial" panose="020B0604020202020204" pitchFamily="34" charset="0"/>
              <a:ea typeface="+mn-ea"/>
              <a:cs typeface="Arial" panose="020B0604020202020204" pitchFamily="34" charset="0"/>
            </a:rPr>
            <a:t> você é um profissional liberal ou prestador de serviços, sabemos o quanto é difícil separar o orçamento familiar do orçamento do negócio. Pensando nisso, criamos esta planilha, na qual você poderá ter uma visão mais clara dos seus gastos e receitas.  </a:t>
          </a:r>
          <a:r>
            <a:rPr lang="pt-BR" sz="1100" b="1">
              <a:solidFill>
                <a:schemeClr val="dk1"/>
              </a:solidFill>
              <a:effectLst/>
              <a:latin typeface="Arial" panose="020B0604020202020204" pitchFamily="34" charset="0"/>
              <a:ea typeface="+mn-ea"/>
              <a:cs typeface="Arial" panose="020B0604020202020204" pitchFamily="34" charset="0"/>
            </a:rPr>
            <a:t>Planejamento Financeiro:</a:t>
          </a:r>
          <a:r>
            <a:rPr lang="pt-BR" sz="1100">
              <a:solidFill>
                <a:schemeClr val="dk1"/>
              </a:solidFill>
              <a:effectLst/>
              <a:latin typeface="Arial" panose="020B0604020202020204" pitchFamily="34" charset="0"/>
              <a:ea typeface="+mn-ea"/>
              <a:cs typeface="Arial" panose="020B0604020202020204" pitchFamily="34" charset="0"/>
            </a:rPr>
            <a:t> é um dos principais</a:t>
          </a:r>
          <a:r>
            <a:rPr lang="pt-BR" sz="1100" baseline="0">
              <a:solidFill>
                <a:schemeClr val="dk1"/>
              </a:solidFill>
              <a:effectLst/>
              <a:latin typeface="Arial" panose="020B0604020202020204" pitchFamily="34" charset="0"/>
              <a:ea typeface="+mn-ea"/>
              <a:cs typeface="Arial" panose="020B0604020202020204" pitchFamily="34" charset="0"/>
            </a:rPr>
            <a:t> fatores para o sucesso de qualquer empreendimento e organização familiar</a:t>
          </a:r>
          <a:r>
            <a:rPr lang="pt-BR" sz="1100">
              <a:solidFill>
                <a:schemeClr val="dk1"/>
              </a:solidFill>
              <a:effectLst/>
              <a:latin typeface="Arial" panose="020B0604020202020204" pitchFamily="34" charset="0"/>
              <a:ea typeface="+mn-ea"/>
              <a:cs typeface="Arial" panose="020B0604020202020204" pitchFamily="34" charset="0"/>
            </a:rPr>
            <a:t>. Sem planejamento financeiro é o mesmo que estarmos sem um Norte, ou seja, dificulta</a:t>
          </a:r>
          <a:r>
            <a:rPr lang="pt-BR" sz="1100" baseline="0">
              <a:solidFill>
                <a:schemeClr val="dk1"/>
              </a:solidFill>
              <a:effectLst/>
              <a:latin typeface="Arial" panose="020B0604020202020204" pitchFamily="34" charset="0"/>
              <a:ea typeface="+mn-ea"/>
              <a:cs typeface="Arial" panose="020B0604020202020204" pitchFamily="34" charset="0"/>
            </a:rPr>
            <a:t> a tomada de decisão, pode fazer com que utilizemos recursos e tempo na direção errada e etc</a:t>
          </a:r>
          <a:r>
            <a:rPr lang="pt-BR" sz="1100">
              <a:solidFill>
                <a:schemeClr val="dk1"/>
              </a:solidFill>
              <a:effectLst/>
              <a:latin typeface="Arial" panose="020B0604020202020204" pitchFamily="34" charset="0"/>
              <a:ea typeface="+mn-ea"/>
              <a:cs typeface="Arial" panose="020B0604020202020204" pitchFamily="34" charset="0"/>
            </a:rPr>
            <a:t>.</a:t>
          </a:r>
        </a:p>
        <a:p>
          <a:pPr eaLnBrk="1" fontAlgn="auto" latinLnBrk="0" hangingPunct="1">
            <a:lnSpc>
              <a:spcPct val="150000"/>
            </a:lnSpc>
          </a:pPr>
          <a:endParaRPr lang="pt-BR" sz="1100" b="0" i="0" u="none" strike="noStrike">
            <a:solidFill>
              <a:srgbClr val="4983BB"/>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50000"/>
            </a:lnSpc>
            <a:spcBef>
              <a:spcPts val="0"/>
            </a:spcBef>
            <a:spcAft>
              <a:spcPts val="0"/>
            </a:spcAft>
            <a:buClrTx/>
            <a:buSzTx/>
            <a:buFontTx/>
            <a:buNone/>
            <a:tabLst/>
            <a:defRPr/>
          </a:pPr>
          <a:r>
            <a:rPr lang="pt-BR" sz="1800" b="0" i="0" u="none" strike="noStrike">
              <a:solidFill>
                <a:schemeClr val="accent4">
                  <a:lumMod val="75000"/>
                </a:schemeClr>
              </a:solidFill>
              <a:effectLst/>
              <a:latin typeface="Arial" panose="020B0604020202020204" pitchFamily="34" charset="0"/>
              <a:ea typeface="+mn-ea"/>
              <a:cs typeface="Arial" panose="020B0604020202020204" pitchFamily="34" charset="0"/>
            </a:rPr>
            <a:t>Instruções de uso </a:t>
          </a:r>
        </a:p>
        <a:p>
          <a:pPr marL="0" marR="0" indent="0" defTabSz="914400" eaLnBrk="1" fontAlgn="auto" latinLnBrk="0" hangingPunct="1">
            <a:lnSpc>
              <a:spcPct val="150000"/>
            </a:lnSpc>
            <a:spcBef>
              <a:spcPts val="0"/>
            </a:spcBef>
            <a:spcAft>
              <a:spcPts val="0"/>
            </a:spcAft>
            <a:buClrTx/>
            <a:buSzTx/>
            <a:buFontTx/>
            <a:buNone/>
            <a:tabLst/>
            <a:defRPr/>
          </a:pPr>
          <a:endParaRPr lang="pt-BR" sz="1100">
            <a:solidFill>
              <a:srgbClr val="414042"/>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50000"/>
            </a:lnSpc>
            <a:spcBef>
              <a:spcPts val="0"/>
            </a:spcBef>
            <a:spcAft>
              <a:spcPts val="0"/>
            </a:spcAft>
            <a:buClrTx/>
            <a:buSzTx/>
            <a:buFontTx/>
            <a:buNone/>
            <a:tabLst/>
            <a:defRPr/>
          </a:pPr>
          <a:r>
            <a:rPr lang="pt-BR" sz="1100">
              <a:solidFill>
                <a:srgbClr val="414042"/>
              </a:solidFill>
              <a:latin typeface="Arial" panose="020B0604020202020204" pitchFamily="34" charset="0"/>
              <a:ea typeface="+mn-ea"/>
              <a:cs typeface="Arial" panose="020B0604020202020204" pitchFamily="34" charset="0"/>
            </a:rPr>
            <a:t>A planilha está dividida em quatro partes: </a:t>
          </a:r>
          <a:r>
            <a:rPr lang="pt-BR" sz="1100" b="1">
              <a:solidFill>
                <a:srgbClr val="414042"/>
              </a:solidFill>
              <a:latin typeface="Arial" panose="020B0604020202020204" pitchFamily="34" charset="0"/>
              <a:ea typeface="+mn-ea"/>
              <a:cs typeface="Arial" panose="020B0604020202020204" pitchFamily="34" charset="0"/>
            </a:rPr>
            <a:t>Plano de Contas</a:t>
          </a:r>
          <a:r>
            <a:rPr lang="pt-BR" sz="1100">
              <a:solidFill>
                <a:srgbClr val="414042"/>
              </a:solidFill>
              <a:latin typeface="Arial" panose="020B0604020202020204" pitchFamily="34" charset="0"/>
              <a:ea typeface="+mn-ea"/>
              <a:cs typeface="Arial" panose="020B0604020202020204" pitchFamily="34" charset="0"/>
            </a:rPr>
            <a:t>, onde você poderá detalhar a descrição das suas receitas e despesas,</a:t>
          </a:r>
          <a:r>
            <a:rPr lang="pt-BR" sz="1100" baseline="0">
              <a:solidFill>
                <a:srgbClr val="414042"/>
              </a:solidFill>
              <a:latin typeface="Arial" panose="020B0604020202020204" pitchFamily="34" charset="0"/>
              <a:ea typeface="+mn-ea"/>
              <a:cs typeface="Arial" panose="020B0604020202020204" pitchFamily="34" charset="0"/>
            </a:rPr>
            <a:t> bem como informar um valor de referência que pretedente manter ou alcançar. A segunda parte é o </a:t>
          </a:r>
          <a:r>
            <a:rPr lang="pt-BR" sz="1100" b="1" baseline="0">
              <a:solidFill>
                <a:srgbClr val="414042"/>
              </a:solidFill>
              <a:latin typeface="Arial" panose="020B0604020202020204" pitchFamily="34" charset="0"/>
              <a:ea typeface="+mn-ea"/>
              <a:cs typeface="Arial" panose="020B0604020202020204" pitchFamily="34" charset="0"/>
            </a:rPr>
            <a:t>Lançamento</a:t>
          </a:r>
          <a:r>
            <a:rPr lang="pt-BR" sz="1100" baseline="0">
              <a:solidFill>
                <a:srgbClr val="414042"/>
              </a:solidFill>
              <a:latin typeface="Arial" panose="020B0604020202020204" pitchFamily="34" charset="0"/>
              <a:ea typeface="+mn-ea"/>
              <a:cs typeface="Arial" panose="020B0604020202020204" pitchFamily="34" charset="0"/>
            </a:rPr>
            <a:t>, onde você irá lançar todas as suas receitas e despesas do mês. A terceira é o </a:t>
          </a:r>
          <a:r>
            <a:rPr lang="pt-BR" sz="1100" b="1" baseline="0">
              <a:solidFill>
                <a:srgbClr val="414042"/>
              </a:solidFill>
              <a:latin typeface="Arial" panose="020B0604020202020204" pitchFamily="34" charset="0"/>
              <a:ea typeface="+mn-ea"/>
              <a:cs typeface="Arial" panose="020B0604020202020204" pitchFamily="34" charset="0"/>
            </a:rPr>
            <a:t>Orçamento</a:t>
          </a:r>
          <a:r>
            <a:rPr lang="pt-BR" sz="1100" baseline="0">
              <a:solidFill>
                <a:srgbClr val="414042"/>
              </a:solidFill>
              <a:latin typeface="Arial" panose="020B0604020202020204" pitchFamily="34" charset="0"/>
              <a:ea typeface="+mn-ea"/>
              <a:cs typeface="Arial" panose="020B0604020202020204" pitchFamily="34" charset="0"/>
            </a:rPr>
            <a:t> um quadro resumo que utiliza as informações do plano de contas e dos lançamentos e que irá mostrar o seu fluxo de caixa para o ano que você deseja controlar. Por último temos o Painel que mostra alguns indicadores e informações sobre como você está usando o seu dinheiro.</a:t>
          </a:r>
          <a:r>
            <a:rPr lang="pt-BR" sz="1100">
              <a:solidFill>
                <a:srgbClr val="414042"/>
              </a:solidFill>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50000"/>
            </a:lnSpc>
            <a:spcBef>
              <a:spcPts val="0"/>
            </a:spcBef>
            <a:spcAft>
              <a:spcPts val="0"/>
            </a:spcAft>
            <a:buClrTx/>
            <a:buSzTx/>
            <a:buFontTx/>
            <a:buNone/>
            <a:tabLst/>
            <a:defRPr/>
          </a:pPr>
          <a:endParaRPr lang="pt-BR" sz="1100">
            <a:solidFill>
              <a:srgbClr val="414042"/>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50000"/>
            </a:lnSpc>
            <a:spcBef>
              <a:spcPts val="0"/>
            </a:spcBef>
            <a:spcAft>
              <a:spcPts val="0"/>
            </a:spcAft>
            <a:buClrTx/>
            <a:buSzTx/>
            <a:buFontTx/>
            <a:buNone/>
            <a:tabLst/>
            <a:defRPr/>
          </a:pPr>
          <a:r>
            <a:rPr lang="pt-BR" sz="1100">
              <a:solidFill>
                <a:srgbClr val="414042"/>
              </a:solidFill>
              <a:latin typeface="Arial" panose="020B0604020202020204" pitchFamily="34" charset="0"/>
              <a:ea typeface="+mn-ea"/>
              <a:cs typeface="Arial" panose="020B0604020202020204" pitchFamily="34" charset="0"/>
            </a:rPr>
            <a:t>No </a:t>
          </a:r>
          <a:r>
            <a:rPr lang="pt-BR" sz="1100" b="1">
              <a:solidFill>
                <a:srgbClr val="414042"/>
              </a:solidFill>
              <a:latin typeface="Arial" panose="020B0604020202020204" pitchFamily="34" charset="0"/>
              <a:ea typeface="+mn-ea"/>
              <a:cs typeface="Arial" panose="020B0604020202020204" pitchFamily="34" charset="0"/>
            </a:rPr>
            <a:t>Plano</a:t>
          </a:r>
          <a:r>
            <a:rPr lang="pt-BR" sz="1100" b="1" baseline="0">
              <a:solidFill>
                <a:srgbClr val="414042"/>
              </a:solidFill>
              <a:latin typeface="Arial" panose="020B0604020202020204" pitchFamily="34" charset="0"/>
              <a:ea typeface="+mn-ea"/>
              <a:cs typeface="Arial" panose="020B0604020202020204" pitchFamily="34" charset="0"/>
            </a:rPr>
            <a:t> de Contas</a:t>
          </a:r>
          <a:r>
            <a:rPr lang="pt-BR" sz="1100">
              <a:solidFill>
                <a:srgbClr val="414042"/>
              </a:solidFill>
              <a:latin typeface="Arial" panose="020B0604020202020204" pitchFamily="34" charset="0"/>
              <a:ea typeface="+mn-ea"/>
              <a:cs typeface="Arial" panose="020B0604020202020204" pitchFamily="34" charset="0"/>
            </a:rPr>
            <a:t> já está contido várias despesas e receitas mais comuns.</a:t>
          </a:r>
          <a:r>
            <a:rPr lang="pt-BR" sz="1100" baseline="0">
              <a:solidFill>
                <a:srgbClr val="414042"/>
              </a:solidFill>
              <a:latin typeface="Arial" panose="020B0604020202020204" pitchFamily="34" charset="0"/>
              <a:ea typeface="+mn-ea"/>
              <a:cs typeface="Arial" panose="020B0604020202020204" pitchFamily="34" charset="0"/>
            </a:rPr>
            <a:t> Você pode mudar a descrição ou incluir outras de acordo com a sua necessidade</a:t>
          </a:r>
          <a:r>
            <a:rPr lang="pt-BR" sz="1100">
              <a:solidFill>
                <a:srgbClr val="414042"/>
              </a:solidFill>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50000"/>
            </a:lnSpc>
            <a:spcBef>
              <a:spcPts val="0"/>
            </a:spcBef>
            <a:spcAft>
              <a:spcPts val="0"/>
            </a:spcAft>
            <a:buClrTx/>
            <a:buSzTx/>
            <a:buFontTx/>
            <a:buNone/>
            <a:tabLst/>
            <a:defRPr/>
          </a:pPr>
          <a:endParaRPr lang="pt-BR" sz="1100">
            <a:solidFill>
              <a:srgbClr val="414042"/>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50000"/>
            </a:lnSpc>
            <a:spcBef>
              <a:spcPts val="0"/>
            </a:spcBef>
            <a:spcAft>
              <a:spcPts val="0"/>
            </a:spcAft>
            <a:buClrTx/>
            <a:buSzTx/>
            <a:buFontTx/>
            <a:buNone/>
            <a:tabLst/>
            <a:defRPr/>
          </a:pPr>
          <a:r>
            <a:rPr lang="pt-BR" sz="1100">
              <a:solidFill>
                <a:srgbClr val="414042"/>
              </a:solidFill>
              <a:latin typeface="Arial" panose="020B0604020202020204" pitchFamily="34" charset="0"/>
              <a:ea typeface="+mn-ea"/>
              <a:cs typeface="Arial" panose="020B0604020202020204" pitchFamily="34" charset="0"/>
            </a:rPr>
            <a:t>Na aba </a:t>
          </a:r>
          <a:r>
            <a:rPr lang="pt-BR" sz="1100" b="1">
              <a:solidFill>
                <a:srgbClr val="414042"/>
              </a:solidFill>
              <a:latin typeface="Arial" panose="020B0604020202020204" pitchFamily="34" charset="0"/>
              <a:ea typeface="+mn-ea"/>
              <a:cs typeface="Arial" panose="020B0604020202020204" pitchFamily="34" charset="0"/>
            </a:rPr>
            <a:t>Lançamento </a:t>
          </a:r>
          <a:r>
            <a:rPr lang="pt-BR" sz="1100" b="0">
              <a:solidFill>
                <a:srgbClr val="414042"/>
              </a:solidFill>
              <a:latin typeface="Arial" panose="020B0604020202020204" pitchFamily="34" charset="0"/>
              <a:ea typeface="+mn-ea"/>
              <a:cs typeface="Arial" panose="020B0604020202020204" pitchFamily="34" charset="0"/>
            </a:rPr>
            <a:t>deixamos alguns lançamentos</a:t>
          </a:r>
          <a:r>
            <a:rPr lang="pt-BR" sz="1100" b="0" baseline="0">
              <a:solidFill>
                <a:srgbClr val="414042"/>
              </a:solidFill>
              <a:latin typeface="Arial" panose="020B0604020202020204" pitchFamily="34" charset="0"/>
              <a:ea typeface="+mn-ea"/>
              <a:cs typeface="Arial" panose="020B0604020202020204" pitchFamily="34" charset="0"/>
            </a:rPr>
            <a:t> de exemplo para você. Aqui você precisa informar o tipo da despesa ou receita, o valor, a data que foi pago ou recebido, o centro de custo (identificação para uma despesa realizada para a empresa ou particular). As informações na </a:t>
          </a:r>
          <a:r>
            <a:rPr lang="pt-BR" sz="1100" b="0" baseline="0">
              <a:solidFill>
                <a:schemeClr val="accent6">
                  <a:lumMod val="75000"/>
                </a:schemeClr>
              </a:solidFill>
              <a:latin typeface="Arial" panose="020B0604020202020204" pitchFamily="34" charset="0"/>
              <a:ea typeface="+mn-ea"/>
              <a:cs typeface="Arial" panose="020B0604020202020204" pitchFamily="34" charset="0"/>
            </a:rPr>
            <a:t>cor laranja </a:t>
          </a:r>
          <a:r>
            <a:rPr lang="pt-BR" sz="1100" b="0" baseline="0">
              <a:solidFill>
                <a:srgbClr val="414042"/>
              </a:solidFill>
              <a:latin typeface="Arial" panose="020B0604020202020204" pitchFamily="34" charset="0"/>
              <a:ea typeface="+mn-ea"/>
              <a:cs typeface="Arial" panose="020B0604020202020204" pitchFamily="34" charset="0"/>
            </a:rPr>
            <a:t>são informativas para facilitar sua análise e os relatórios elas são carregadas através de fórmulas da aba Plano de Contas.</a:t>
          </a:r>
          <a:endParaRPr lang="pt-BR" sz="1100" b="0">
            <a:solidFill>
              <a:srgbClr val="414042"/>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50000"/>
            </a:lnSpc>
            <a:spcBef>
              <a:spcPts val="0"/>
            </a:spcBef>
            <a:spcAft>
              <a:spcPts val="0"/>
            </a:spcAft>
            <a:buClrTx/>
            <a:buSzTx/>
            <a:buFontTx/>
            <a:buNone/>
            <a:tabLst/>
            <a:defRPr/>
          </a:pPr>
          <a:endParaRPr lang="pt-BR" sz="1100">
            <a:solidFill>
              <a:srgbClr val="414042"/>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50000"/>
            </a:lnSpc>
            <a:spcBef>
              <a:spcPts val="0"/>
            </a:spcBef>
            <a:spcAft>
              <a:spcPts val="0"/>
            </a:spcAft>
            <a:buClrTx/>
            <a:buSzTx/>
            <a:buFontTx/>
            <a:buNone/>
            <a:tabLst/>
            <a:defRPr/>
          </a:pPr>
          <a:r>
            <a:rPr lang="pt-BR" sz="1100">
              <a:solidFill>
                <a:srgbClr val="414042"/>
              </a:solidFill>
              <a:latin typeface="Arial" panose="020B0604020202020204" pitchFamily="34" charset="0"/>
              <a:ea typeface="+mn-ea"/>
              <a:cs typeface="Arial" panose="020B0604020202020204" pitchFamily="34" charset="0"/>
            </a:rPr>
            <a:t>Na aba </a:t>
          </a:r>
          <a:r>
            <a:rPr lang="pt-BR" sz="1100" b="1">
              <a:solidFill>
                <a:srgbClr val="414042"/>
              </a:solidFill>
              <a:latin typeface="Arial" panose="020B0604020202020204" pitchFamily="34" charset="0"/>
              <a:ea typeface="+mn-ea"/>
              <a:cs typeface="Arial" panose="020B0604020202020204" pitchFamily="34" charset="0"/>
            </a:rPr>
            <a:t>Orçamento</a:t>
          </a:r>
          <a:r>
            <a:rPr lang="pt-BR" sz="1100">
              <a:solidFill>
                <a:srgbClr val="414042"/>
              </a:solidFill>
              <a:latin typeface="Arial" panose="020B0604020202020204" pitchFamily="34" charset="0"/>
              <a:ea typeface="+mn-ea"/>
              <a:cs typeface="Arial" panose="020B0604020202020204" pitchFamily="34" charset="0"/>
            </a:rPr>
            <a:t>, quando você faz um lançamento este é atualizado automaticamente</a:t>
          </a:r>
          <a:r>
            <a:rPr lang="pt-BR" sz="1100" baseline="0">
              <a:solidFill>
                <a:srgbClr val="414042"/>
              </a:solidFill>
              <a:latin typeface="Arial" panose="020B0604020202020204" pitchFamily="34" charset="0"/>
              <a:ea typeface="+mn-ea"/>
              <a:cs typeface="Arial" panose="020B0604020202020204" pitchFamily="34" charset="0"/>
            </a:rPr>
            <a:t> de acordo com o tipo de despesa ou receita e com a data informada. As células em verde podem ser alteradas de acordo com a sua necessidade, por exemplo o </a:t>
          </a:r>
          <a:r>
            <a:rPr lang="pt-BR" sz="1100" baseline="0">
              <a:solidFill>
                <a:srgbClr val="00B050"/>
              </a:solidFill>
              <a:latin typeface="Arial" panose="020B0604020202020204" pitchFamily="34" charset="0"/>
              <a:ea typeface="+mn-ea"/>
              <a:cs typeface="Arial" panose="020B0604020202020204" pitchFamily="34" charset="0"/>
            </a:rPr>
            <a:t>ano base </a:t>
          </a:r>
          <a:r>
            <a:rPr lang="pt-BR" sz="1100" baseline="0">
              <a:solidFill>
                <a:srgbClr val="414042"/>
              </a:solidFill>
              <a:latin typeface="Arial" panose="020B0604020202020204" pitchFamily="34" charset="0"/>
              <a:ea typeface="+mn-ea"/>
              <a:cs typeface="Arial" panose="020B0604020202020204" pitchFamily="34" charset="0"/>
            </a:rPr>
            <a:t>está </a:t>
          </a:r>
          <a:r>
            <a:rPr lang="pt-BR" sz="1100" baseline="0">
              <a:solidFill>
                <a:srgbClr val="00B050"/>
              </a:solidFill>
              <a:latin typeface="Arial" panose="020B0604020202020204" pitchFamily="34" charset="0"/>
              <a:ea typeface="+mn-ea"/>
              <a:cs typeface="Arial" panose="020B0604020202020204" pitchFamily="34" charset="0"/>
            </a:rPr>
            <a:t>2016 </a:t>
          </a:r>
          <a:r>
            <a:rPr lang="pt-BR" sz="1100" baseline="0">
              <a:solidFill>
                <a:srgbClr val="414042"/>
              </a:solidFill>
              <a:latin typeface="Arial" panose="020B0604020202020204" pitchFamily="34" charset="0"/>
              <a:ea typeface="+mn-ea"/>
              <a:cs typeface="Arial" panose="020B0604020202020204" pitchFamily="34" charset="0"/>
            </a:rPr>
            <a:t>você pode alterar para </a:t>
          </a:r>
          <a:r>
            <a:rPr lang="pt-BR" sz="1100" baseline="0">
              <a:solidFill>
                <a:srgbClr val="00B050"/>
              </a:solidFill>
              <a:latin typeface="Arial" panose="020B0604020202020204" pitchFamily="34" charset="0"/>
              <a:ea typeface="+mn-ea"/>
              <a:cs typeface="Arial" panose="020B0604020202020204" pitchFamily="34" charset="0"/>
            </a:rPr>
            <a:t>2017</a:t>
          </a:r>
          <a:r>
            <a:rPr lang="pt-BR" sz="1100" baseline="0">
              <a:solidFill>
                <a:srgbClr val="414042"/>
              </a:solidFill>
              <a:latin typeface="Arial" panose="020B0604020202020204" pitchFamily="34" charset="0"/>
              <a:ea typeface="+mn-ea"/>
              <a:cs typeface="Arial" panose="020B0604020202020204" pitchFamily="34" charset="0"/>
            </a:rPr>
            <a:t> e começar a organizar as suas finanças para este ano. O ideal é que o saldo do mês desta planilha bata com o saldo da sua conta corrente. Assim você terá um controle correto das das suas despesas. Se por algum motivo os valores não baterem por falta de lançamento em um determinado mês você poderá informar o saldo da sua conta positivo ou negativo na linha "</a:t>
          </a:r>
          <a:r>
            <a:rPr lang="pt-BR" sz="1100" baseline="0">
              <a:solidFill>
                <a:srgbClr val="00B050"/>
              </a:solidFill>
              <a:latin typeface="Arial" panose="020B0604020202020204" pitchFamily="34" charset="0"/>
              <a:ea typeface="+mn-ea"/>
              <a:cs typeface="Arial" panose="020B0604020202020204" pitchFamily="34" charset="0"/>
            </a:rPr>
            <a:t>Ajuste de saldo em caixa ou conta</a:t>
          </a:r>
          <a:r>
            <a:rPr lang="pt-BR" sz="1100" baseline="0">
              <a:solidFill>
                <a:srgbClr val="414042"/>
              </a:solidFill>
              <a:latin typeface="Arial" panose="020B0604020202020204" pitchFamily="34" charset="0"/>
              <a:ea typeface="+mn-ea"/>
              <a:cs typeface="Arial" panose="020B0604020202020204" pitchFamily="34" charset="0"/>
            </a:rPr>
            <a:t>". Para facilitar a sua previsão de recebimentos e gastos a planilha lança </a:t>
          </a:r>
          <a:r>
            <a:rPr lang="pt-BR" sz="1100" baseline="0">
              <a:solidFill>
                <a:schemeClr val="accent6">
                  <a:lumMod val="75000"/>
                </a:schemeClr>
              </a:solidFill>
              <a:latin typeface="Arial" panose="020B0604020202020204" pitchFamily="34" charset="0"/>
              <a:ea typeface="+mn-ea"/>
              <a:cs typeface="Arial" panose="020B0604020202020204" pitchFamily="34" charset="0"/>
            </a:rPr>
            <a:t>valores, em laranja</a:t>
          </a:r>
          <a:r>
            <a:rPr lang="pt-BR" sz="1100" baseline="0">
              <a:solidFill>
                <a:srgbClr val="414042"/>
              </a:solidFill>
              <a:latin typeface="Arial" panose="020B0604020202020204" pitchFamily="34" charset="0"/>
              <a:ea typeface="+mn-ea"/>
              <a:cs typeface="Arial" panose="020B0604020202020204" pitchFamily="34" charset="0"/>
            </a:rPr>
            <a:t>, automaticamente no mês subsequente ao mês atual para que você tenha uma previsão até o final do ano. Depois de ajustado as suas contas esta é a aba onde você deverá trabalhar e entrar com as informações as demais serão resultado destas informações.</a:t>
          </a:r>
          <a:endParaRPr lang="pt-BR" sz="1100">
            <a:solidFill>
              <a:srgbClr val="414042"/>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50000"/>
            </a:lnSpc>
            <a:spcBef>
              <a:spcPts val="0"/>
            </a:spcBef>
            <a:spcAft>
              <a:spcPts val="0"/>
            </a:spcAft>
            <a:buClrTx/>
            <a:buSzTx/>
            <a:buFontTx/>
            <a:buNone/>
            <a:tabLst/>
            <a:defRPr/>
          </a:pPr>
          <a:endParaRPr lang="pt-BR" sz="1100">
            <a:solidFill>
              <a:srgbClr val="414042"/>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50000"/>
            </a:lnSpc>
            <a:spcBef>
              <a:spcPts val="0"/>
            </a:spcBef>
            <a:spcAft>
              <a:spcPts val="0"/>
            </a:spcAft>
            <a:buClrTx/>
            <a:buSzTx/>
            <a:buFontTx/>
            <a:buNone/>
            <a:tabLst/>
            <a:defRPr/>
          </a:pPr>
          <a:r>
            <a:rPr lang="pt-BR" sz="1100">
              <a:solidFill>
                <a:srgbClr val="414042"/>
              </a:solidFill>
              <a:latin typeface="Arial" panose="020B0604020202020204" pitchFamily="34" charset="0"/>
              <a:ea typeface="+mn-ea"/>
              <a:cs typeface="Arial" panose="020B0604020202020204" pitchFamily="34" charset="0"/>
            </a:rPr>
            <a:t>O </a:t>
          </a:r>
          <a:r>
            <a:rPr lang="pt-BR" sz="1100" b="1">
              <a:solidFill>
                <a:srgbClr val="414042"/>
              </a:solidFill>
              <a:latin typeface="Arial" panose="020B0604020202020204" pitchFamily="34" charset="0"/>
              <a:ea typeface="+mn-ea"/>
              <a:cs typeface="Arial" panose="020B0604020202020204" pitchFamily="34" charset="0"/>
            </a:rPr>
            <a:t>Painel</a:t>
          </a:r>
          <a:r>
            <a:rPr lang="pt-BR" sz="1100">
              <a:solidFill>
                <a:srgbClr val="414042"/>
              </a:solidFill>
              <a:latin typeface="Arial" panose="020B0604020202020204" pitchFamily="34" charset="0"/>
              <a:ea typeface="+mn-ea"/>
              <a:cs typeface="Arial" panose="020B0604020202020204" pitchFamily="34" charset="0"/>
            </a:rPr>
            <a:t> é um resumo das despesas e receitas por grupo e por centro de custo. Você pode realizar filtros ao clicar na setinha para baixo ao lado do campo. Normalmente</a:t>
          </a:r>
          <a:r>
            <a:rPr lang="pt-BR" sz="1100" baseline="0">
              <a:solidFill>
                <a:srgbClr val="414042"/>
              </a:solidFill>
              <a:latin typeface="Arial" panose="020B0604020202020204" pitchFamily="34" charset="0"/>
              <a:ea typeface="+mn-ea"/>
              <a:cs typeface="Arial" panose="020B0604020202020204" pitchFamily="34" charset="0"/>
            </a:rPr>
            <a:t> estas tabelas não são atualizadas automaticamente. Para atualizar os dados destas tabelas após realizar um lançamento clique na tabela e pressione as teclas ALT + F5 as tabelas serão atualizadas.</a:t>
          </a:r>
          <a:endParaRPr lang="pt-BR" sz="1100">
            <a:solidFill>
              <a:srgbClr val="414042"/>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50000"/>
            </a:lnSpc>
            <a:spcBef>
              <a:spcPts val="0"/>
            </a:spcBef>
            <a:spcAft>
              <a:spcPts val="0"/>
            </a:spcAft>
            <a:buClrTx/>
            <a:buSzTx/>
            <a:buFontTx/>
            <a:buNone/>
            <a:tabLst/>
            <a:defRPr/>
          </a:pPr>
          <a:endParaRPr lang="pt-BR" sz="1100">
            <a:solidFill>
              <a:srgbClr val="414042"/>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50000"/>
            </a:lnSpc>
            <a:spcBef>
              <a:spcPts val="0"/>
            </a:spcBef>
            <a:spcAft>
              <a:spcPts val="0"/>
            </a:spcAft>
            <a:buClrTx/>
            <a:buSzTx/>
            <a:buFontTx/>
            <a:buNone/>
            <a:tabLst/>
            <a:defRPr/>
          </a:pPr>
          <a:r>
            <a:rPr lang="pt-BR" sz="1800" b="0" i="0" u="none" strike="noStrike">
              <a:solidFill>
                <a:schemeClr val="accent4">
                  <a:lumMod val="75000"/>
                </a:schemeClr>
              </a:solidFill>
              <a:effectLst/>
              <a:latin typeface="Arial" panose="020B0604020202020204" pitchFamily="34" charset="0"/>
              <a:ea typeface="+mn-ea"/>
              <a:cs typeface="Arial" panose="020B0604020202020204" pitchFamily="34" charset="0"/>
            </a:rPr>
            <a:t>Bom proveito... </a:t>
          </a:r>
        </a:p>
        <a:p>
          <a:pPr marL="0" marR="0" indent="0" defTabSz="914400" eaLnBrk="1" fontAlgn="auto" latinLnBrk="0" hangingPunct="1">
            <a:lnSpc>
              <a:spcPct val="150000"/>
            </a:lnSpc>
            <a:spcBef>
              <a:spcPts val="0"/>
            </a:spcBef>
            <a:spcAft>
              <a:spcPts val="0"/>
            </a:spcAft>
            <a:buClrTx/>
            <a:buSzTx/>
            <a:buFontTx/>
            <a:buNone/>
            <a:tabLst/>
            <a:defRPr/>
          </a:pPr>
          <a:endParaRPr lang="pt-BR" sz="1100" b="0" i="0" u="none" strike="noStrike">
            <a:solidFill>
              <a:srgbClr val="4983BB"/>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50000"/>
            </a:lnSpc>
            <a:spcBef>
              <a:spcPts val="0"/>
            </a:spcBef>
            <a:spcAft>
              <a:spcPts val="0"/>
            </a:spcAft>
            <a:buClrTx/>
            <a:buSzTx/>
            <a:buFontTx/>
            <a:buNone/>
            <a:tabLst/>
            <a:defRPr/>
          </a:pPr>
          <a:r>
            <a:rPr lang="pt-BR" sz="1100">
              <a:solidFill>
                <a:srgbClr val="414042"/>
              </a:solidFill>
              <a:latin typeface="Arial" panose="020B0604020202020204" pitchFamily="34" charset="0"/>
              <a:ea typeface="+mn-ea"/>
              <a:cs typeface="Arial" panose="020B0604020202020204" pitchFamily="34" charset="0"/>
            </a:rPr>
            <a:t>Esperamos que</a:t>
          </a:r>
          <a:r>
            <a:rPr lang="pt-BR" sz="1100" baseline="0">
              <a:solidFill>
                <a:srgbClr val="414042"/>
              </a:solidFill>
              <a:latin typeface="Arial" panose="020B0604020202020204" pitchFamily="34" charset="0"/>
              <a:ea typeface="+mn-ea"/>
              <a:cs typeface="Arial" panose="020B0604020202020204" pitchFamily="34" charset="0"/>
            </a:rPr>
            <a:t> esta planilha possa ser útil a você e que ajude ter um planejamento e controle mais apurado das suas receitas e despesas.</a:t>
          </a:r>
        </a:p>
        <a:p>
          <a:pPr marL="0" marR="0" indent="0" defTabSz="914400" eaLnBrk="1" fontAlgn="auto" latinLnBrk="0" hangingPunct="1">
            <a:lnSpc>
              <a:spcPct val="150000"/>
            </a:lnSpc>
            <a:spcBef>
              <a:spcPts val="0"/>
            </a:spcBef>
            <a:spcAft>
              <a:spcPts val="0"/>
            </a:spcAft>
            <a:buClrTx/>
            <a:buSzTx/>
            <a:buFontTx/>
            <a:buNone/>
            <a:tabLst/>
            <a:defRPr/>
          </a:pPr>
          <a:endParaRPr lang="pt-BR" sz="1100" baseline="0">
            <a:solidFill>
              <a:srgbClr val="414042"/>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50000"/>
            </a:lnSpc>
            <a:spcBef>
              <a:spcPts val="0"/>
            </a:spcBef>
            <a:spcAft>
              <a:spcPts val="0"/>
            </a:spcAft>
            <a:buClrTx/>
            <a:buSzTx/>
            <a:buFontTx/>
            <a:buNone/>
            <a:tabLst/>
            <a:defRPr/>
          </a:pPr>
          <a:r>
            <a:rPr lang="pt-BR" sz="1100" baseline="0">
              <a:solidFill>
                <a:srgbClr val="414042"/>
              </a:solidFill>
              <a:latin typeface="Arial" panose="020B0604020202020204" pitchFamily="34" charset="0"/>
              <a:ea typeface="+mn-ea"/>
              <a:cs typeface="Arial" panose="020B0604020202020204" pitchFamily="34" charset="0"/>
            </a:rPr>
            <a:t>Saiba mais sobre a oiana...</a:t>
          </a:r>
        </a:p>
        <a:p>
          <a:pPr marL="0" marR="0" indent="0" defTabSz="914400" eaLnBrk="1" fontAlgn="auto" latinLnBrk="0" hangingPunct="1">
            <a:lnSpc>
              <a:spcPct val="150000"/>
            </a:lnSpc>
            <a:spcBef>
              <a:spcPts val="0"/>
            </a:spcBef>
            <a:spcAft>
              <a:spcPts val="0"/>
            </a:spcAft>
            <a:buClrTx/>
            <a:buSzTx/>
            <a:buFontTx/>
            <a:buNone/>
            <a:tabLst/>
            <a:defRPr/>
          </a:pPr>
          <a:endParaRPr lang="pt-BR" sz="1100">
            <a:solidFill>
              <a:srgbClr val="414042"/>
            </a:solidFill>
            <a:latin typeface="Arial" panose="020B0604020202020204" pitchFamily="34" charset="0"/>
            <a:ea typeface="+mn-ea"/>
            <a:cs typeface="Arial" panose="020B0604020202020204" pitchFamily="34" charset="0"/>
          </a:endParaRPr>
        </a:p>
      </xdr:txBody>
    </xdr:sp>
    <xdr:clientData/>
  </xdr:oneCellAnchor>
  <xdr:twoCellAnchor editAs="oneCell">
    <xdr:from>
      <xdr:col>0</xdr:col>
      <xdr:colOff>95250</xdr:colOff>
      <xdr:row>0</xdr:row>
      <xdr:rowOff>76200</xdr:rowOff>
    </xdr:from>
    <xdr:to>
      <xdr:col>1</xdr:col>
      <xdr:colOff>229301</xdr:colOff>
      <xdr:row>0</xdr:row>
      <xdr:rowOff>428624</xdr:rowOff>
    </xdr:to>
    <xdr:pic>
      <xdr:nvPicPr>
        <xdr:cNvPr id="4" name="Imagem 3">
          <a:hlinkClick xmlns:r="http://schemas.openxmlformats.org/officeDocument/2006/relationships" r:id="rId1"/>
          <a:extLst>
            <a:ext uri="{FF2B5EF4-FFF2-40B4-BE49-F238E27FC236}">
              <a16:creationId xmlns:a16="http://schemas.microsoft.com/office/drawing/2014/main" id="{EAC16A69-4FD9-4A8B-8E2E-C0FD2B44E47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76200"/>
          <a:ext cx="743651" cy="352424"/>
        </a:xfrm>
        <a:prstGeom prst="rect">
          <a:avLst/>
        </a:prstGeom>
      </xdr:spPr>
    </xdr:pic>
    <xdr:clientData/>
  </xdr:twoCellAnchor>
  <xdr:twoCellAnchor editAs="oneCell">
    <xdr:from>
      <xdr:col>0</xdr:col>
      <xdr:colOff>504825</xdr:colOff>
      <xdr:row>47</xdr:row>
      <xdr:rowOff>0</xdr:rowOff>
    </xdr:from>
    <xdr:to>
      <xdr:col>2</xdr:col>
      <xdr:colOff>9525</xdr:colOff>
      <xdr:row>50</xdr:row>
      <xdr:rowOff>152400</xdr:rowOff>
    </xdr:to>
    <xdr:pic>
      <xdr:nvPicPr>
        <xdr:cNvPr id="3" name="Imagem 2">
          <a:hlinkClick xmlns:r="http://schemas.openxmlformats.org/officeDocument/2006/relationships" r:id="rId1"/>
          <a:extLst>
            <a:ext uri="{FF2B5EF4-FFF2-40B4-BE49-F238E27FC236}">
              <a16:creationId xmlns:a16="http://schemas.microsoft.com/office/drawing/2014/main" id="{77E05FDA-602B-446C-8068-DC8681BBD19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04825" y="9429750"/>
          <a:ext cx="723900"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142875</xdr:colOff>
      <xdr:row>54</xdr:row>
      <xdr:rowOff>180974</xdr:rowOff>
    </xdr:from>
    <xdr:to>
      <xdr:col>6</xdr:col>
      <xdr:colOff>428625</xdr:colOff>
      <xdr:row>60</xdr:row>
      <xdr:rowOff>104775</xdr:rowOff>
    </xdr:to>
    <xdr:sp macro="" textlink="">
      <xdr:nvSpPr>
        <xdr:cNvPr id="2" name="Texto Explicativo 1 5">
          <a:extLst>
            <a:ext uri="{FF2B5EF4-FFF2-40B4-BE49-F238E27FC236}">
              <a16:creationId xmlns:a16="http://schemas.microsoft.com/office/drawing/2014/main" id="{E547099A-E687-4FC6-B3CB-C08700E7578C}"/>
            </a:ext>
          </a:extLst>
        </xdr:cNvPr>
        <xdr:cNvSpPr/>
      </xdr:nvSpPr>
      <xdr:spPr>
        <a:xfrm>
          <a:off x="5391150" y="10467974"/>
          <a:ext cx="1504950" cy="1066801"/>
        </a:xfrm>
        <a:prstGeom prst="borderCallout1">
          <a:avLst>
            <a:gd name="adj1" fmla="val 27960"/>
            <a:gd name="adj2" fmla="val 890"/>
            <a:gd name="adj3" fmla="val 28048"/>
            <a:gd name="adj4" fmla="val -14011"/>
          </a:avLst>
        </a:prstGeom>
        <a:solidFill>
          <a:schemeClr val="accent4">
            <a:lumMod val="75000"/>
          </a:schemeClr>
        </a:solidFill>
        <a:ln w="12700" cap="rnd">
          <a:solidFill>
            <a:schemeClr val="accent4">
              <a:lumMod val="20000"/>
              <a:lumOff val="80000"/>
            </a:schemeClr>
          </a:solidFill>
          <a:headEnd type="none"/>
          <a:tailEnd type="oval"/>
        </a:ln>
        <a:effectLst/>
      </xdr:spPr>
      <xdr:style>
        <a:lnRef idx="1">
          <a:schemeClr val="accent1"/>
        </a:lnRef>
        <a:fillRef idx="3">
          <a:schemeClr val="accent1"/>
        </a:fillRef>
        <a:effectRef idx="2">
          <a:schemeClr val="accent1"/>
        </a:effectRef>
        <a:fontRef idx="minor">
          <a:schemeClr val="lt1"/>
        </a:fontRef>
      </xdr:style>
      <xdr:txBody>
        <a:bodyPr vertOverflow="clip" horzOverflow="clip" lIns="108000" tIns="108000" rIns="108000" bIns="108000" rtlCol="0" anchor="t"/>
        <a:lstStyle/>
        <a:p>
          <a:r>
            <a:rPr lang="en-US" sz="1100" b="1">
              <a:solidFill>
                <a:schemeClr val="lt1"/>
              </a:solidFill>
              <a:effectLst/>
              <a:latin typeface="Arial" panose="020B0604020202020204" pitchFamily="34" charset="0"/>
              <a:ea typeface="+mn-ea"/>
              <a:cs typeface="Arial" panose="020B0604020202020204" pitchFamily="34" charset="0"/>
            </a:rPr>
            <a:t>DICA DE</a:t>
          </a:r>
          <a:r>
            <a:rPr lang="en-US" sz="1100" b="1" baseline="0">
              <a:solidFill>
                <a:schemeClr val="lt1"/>
              </a:solidFill>
              <a:effectLst/>
              <a:latin typeface="Arial" panose="020B0604020202020204" pitchFamily="34" charset="0"/>
              <a:ea typeface="+mn-ea"/>
              <a:cs typeface="Arial" panose="020B0604020202020204" pitchFamily="34" charset="0"/>
            </a:rPr>
            <a:t> TABELA</a:t>
          </a:r>
        </a:p>
        <a:p>
          <a:endParaRPr lang="en-US" sz="1100" b="1" baseline="0">
            <a:solidFill>
              <a:schemeClr val="lt1"/>
            </a:solidFill>
            <a:effectLst/>
            <a:latin typeface="Arial" panose="020B0604020202020204" pitchFamily="34" charset="0"/>
            <a:ea typeface="+mn-ea"/>
            <a:cs typeface="Arial" panose="020B0604020202020204" pitchFamily="34" charset="0"/>
          </a:endParaRPr>
        </a:p>
        <a:p>
          <a:r>
            <a:rPr lang="pt-BR" sz="900" baseline="0">
              <a:solidFill>
                <a:schemeClr val="lt1"/>
              </a:solidFill>
              <a:effectLst/>
              <a:latin typeface="Arial" panose="020B0604020202020204" pitchFamily="34" charset="0"/>
              <a:ea typeface="+mn-ea"/>
              <a:cs typeface="Arial" panose="020B0604020202020204" pitchFamily="34" charset="0"/>
            </a:rPr>
            <a:t>Para incluir mais linhas</a:t>
          </a:r>
        </a:p>
        <a:p>
          <a:r>
            <a:rPr lang="en-US" sz="900" baseline="0">
              <a:solidFill>
                <a:schemeClr val="lt1"/>
              </a:solidFill>
              <a:effectLst/>
              <a:latin typeface="Arial" panose="020B0604020202020204" pitchFamily="34" charset="0"/>
              <a:ea typeface="+mn-ea"/>
              <a:cs typeface="Arial" panose="020B0604020202020204" pitchFamily="34" charset="0"/>
            </a:rPr>
            <a:t>Clique nesta célula e pressione a tecla </a:t>
          </a:r>
          <a:r>
            <a:rPr lang="en-US" sz="900" b="1" baseline="0">
              <a:solidFill>
                <a:schemeClr val="lt1"/>
              </a:solidFill>
              <a:effectLst/>
              <a:latin typeface="Arial" panose="020B0604020202020204" pitchFamily="34" charset="0"/>
              <a:ea typeface="+mn-ea"/>
              <a:cs typeface="Arial" panose="020B0604020202020204" pitchFamily="34" charset="0"/>
            </a:rPr>
            <a:t>Tab.</a:t>
          </a:r>
          <a:endParaRPr lang="pt-BR" sz="900" b="1" baseline="0">
            <a:solidFill>
              <a:schemeClr val="lt1"/>
            </a:solidFill>
            <a:effectLst/>
            <a:latin typeface="Arial" panose="020B0604020202020204" pitchFamily="34" charset="0"/>
            <a:ea typeface="+mn-ea"/>
            <a:cs typeface="Arial" panose="020B0604020202020204" pitchFamily="34" charset="0"/>
          </a:endParaRPr>
        </a:p>
        <a:p>
          <a:pPr algn="l"/>
          <a:endParaRPr lang="pt-B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142875</xdr:colOff>
      <xdr:row>0</xdr:row>
      <xdr:rowOff>19050</xdr:rowOff>
    </xdr:from>
    <xdr:to>
      <xdr:col>10</xdr:col>
      <xdr:colOff>546735</xdr:colOff>
      <xdr:row>5</xdr:row>
      <xdr:rowOff>156210</xdr:rowOff>
    </xdr:to>
    <xdr:sp macro="" textlink="">
      <xdr:nvSpPr>
        <xdr:cNvPr id="2" name="Texto Explicativo 1 5">
          <a:extLst>
            <a:ext uri="{FF2B5EF4-FFF2-40B4-BE49-F238E27FC236}">
              <a16:creationId xmlns:a16="http://schemas.microsoft.com/office/drawing/2014/main" id="{D3F22D32-49ED-452C-A3BE-5662822F48F9}"/>
            </a:ext>
          </a:extLst>
        </xdr:cNvPr>
        <xdr:cNvSpPr/>
      </xdr:nvSpPr>
      <xdr:spPr>
        <a:xfrm>
          <a:off x="8429625" y="19050"/>
          <a:ext cx="1461135" cy="1089660"/>
        </a:xfrm>
        <a:prstGeom prst="borderCallout1">
          <a:avLst>
            <a:gd name="adj1" fmla="val 27960"/>
            <a:gd name="adj2" fmla="val 890"/>
            <a:gd name="adj3" fmla="val 28048"/>
            <a:gd name="adj4" fmla="val -14011"/>
          </a:avLst>
        </a:prstGeom>
        <a:solidFill>
          <a:schemeClr val="accent4">
            <a:lumMod val="75000"/>
          </a:schemeClr>
        </a:solidFill>
        <a:ln w="12700" cap="rnd">
          <a:solidFill>
            <a:schemeClr val="accent4">
              <a:lumMod val="20000"/>
              <a:lumOff val="80000"/>
            </a:schemeClr>
          </a:solidFill>
          <a:headEnd type="none"/>
          <a:tailEnd type="oval"/>
        </a:ln>
        <a:effectLst/>
      </xdr:spPr>
      <xdr:style>
        <a:lnRef idx="1">
          <a:schemeClr val="accent1"/>
        </a:lnRef>
        <a:fillRef idx="3">
          <a:schemeClr val="accent1"/>
        </a:fillRef>
        <a:effectRef idx="2">
          <a:schemeClr val="accent1"/>
        </a:effectRef>
        <a:fontRef idx="minor">
          <a:schemeClr val="lt1"/>
        </a:fontRef>
      </xdr:style>
      <xdr:txBody>
        <a:bodyPr vertOverflow="clip" horzOverflow="clip" lIns="108000" tIns="108000" rIns="108000" bIns="108000" rtlCol="0" anchor="t"/>
        <a:lstStyle/>
        <a:p>
          <a:r>
            <a:rPr lang="en-US" sz="1100" b="1">
              <a:solidFill>
                <a:schemeClr val="lt1"/>
              </a:solidFill>
              <a:effectLst/>
              <a:latin typeface="Arial" panose="020B0604020202020204" pitchFamily="34" charset="0"/>
              <a:ea typeface="+mn-ea"/>
              <a:cs typeface="Arial" panose="020B0604020202020204" pitchFamily="34" charset="0"/>
            </a:rPr>
            <a:t>DICA DE</a:t>
          </a:r>
          <a:r>
            <a:rPr lang="en-US" sz="1100" b="1" baseline="0">
              <a:solidFill>
                <a:schemeClr val="lt1"/>
              </a:solidFill>
              <a:effectLst/>
              <a:latin typeface="Arial" panose="020B0604020202020204" pitchFamily="34" charset="0"/>
              <a:ea typeface="+mn-ea"/>
              <a:cs typeface="Arial" panose="020B0604020202020204" pitchFamily="34" charset="0"/>
            </a:rPr>
            <a:t> TABELA</a:t>
          </a:r>
        </a:p>
        <a:p>
          <a:endParaRPr lang="en-US" sz="1100" b="1" baseline="0">
            <a:solidFill>
              <a:schemeClr val="lt1"/>
            </a:solidFill>
            <a:effectLst/>
            <a:latin typeface="Arial" panose="020B0604020202020204" pitchFamily="34" charset="0"/>
            <a:ea typeface="+mn-ea"/>
            <a:cs typeface="Arial" panose="020B0604020202020204" pitchFamily="34" charset="0"/>
          </a:endParaRPr>
        </a:p>
        <a:p>
          <a:r>
            <a:rPr lang="pt-BR" sz="900" baseline="0">
              <a:solidFill>
                <a:schemeClr val="lt1"/>
              </a:solidFill>
              <a:effectLst/>
              <a:latin typeface="Arial" panose="020B0604020202020204" pitchFamily="34" charset="0"/>
              <a:ea typeface="+mn-ea"/>
              <a:cs typeface="Arial" panose="020B0604020202020204" pitchFamily="34" charset="0"/>
            </a:rPr>
            <a:t>Para incluir mais linhas</a:t>
          </a:r>
        </a:p>
        <a:p>
          <a:r>
            <a:rPr lang="en-US" sz="900" baseline="0">
              <a:solidFill>
                <a:schemeClr val="lt1"/>
              </a:solidFill>
              <a:effectLst/>
              <a:latin typeface="Arial" panose="020B0604020202020204" pitchFamily="34" charset="0"/>
              <a:ea typeface="+mn-ea"/>
              <a:cs typeface="Arial" panose="020B0604020202020204" pitchFamily="34" charset="0"/>
            </a:rPr>
            <a:t>Clique na última célula desta coluna e pressione a tecla </a:t>
          </a:r>
          <a:r>
            <a:rPr lang="en-US" sz="900" b="1" baseline="0">
              <a:solidFill>
                <a:schemeClr val="lt1"/>
              </a:solidFill>
              <a:effectLst/>
              <a:latin typeface="Arial" panose="020B0604020202020204" pitchFamily="34" charset="0"/>
              <a:ea typeface="+mn-ea"/>
              <a:cs typeface="Arial" panose="020B0604020202020204" pitchFamily="34" charset="0"/>
            </a:rPr>
            <a:t>Tab.</a:t>
          </a:r>
          <a:endParaRPr lang="pt-BR" sz="900" b="1" baseline="0">
            <a:solidFill>
              <a:schemeClr val="lt1"/>
            </a:solidFill>
            <a:effectLst/>
            <a:latin typeface="Arial" panose="020B0604020202020204" pitchFamily="34" charset="0"/>
            <a:ea typeface="+mn-ea"/>
            <a:cs typeface="Arial" panose="020B0604020202020204" pitchFamily="34" charset="0"/>
          </a:endParaRPr>
        </a:p>
        <a:p>
          <a:pPr algn="l"/>
          <a:endParaRPr lang="pt-B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200025</xdr:colOff>
      <xdr:row>2</xdr:row>
      <xdr:rowOff>0</xdr:rowOff>
    </xdr:from>
    <xdr:to>
      <xdr:col>9</xdr:col>
      <xdr:colOff>209550</xdr:colOff>
      <xdr:row>16</xdr:row>
      <xdr:rowOff>57150</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47625</xdr:colOff>
      <xdr:row>2</xdr:row>
      <xdr:rowOff>9525</xdr:rowOff>
    </xdr:from>
    <xdr:to>
      <xdr:col>16</xdr:col>
      <xdr:colOff>571500</xdr:colOff>
      <xdr:row>16</xdr:row>
      <xdr:rowOff>85725</xdr:rowOff>
    </xdr:to>
    <xdr:graphicFrame macro="">
      <xdr:nvGraphicFramePr>
        <xdr:cNvPr id="3" name="Gráfico 2">
          <a:extLst>
            <a:ext uri="{FF2B5EF4-FFF2-40B4-BE49-F238E27FC236}">
              <a16:creationId xmlns:a16="http://schemas.microsoft.com/office/drawing/2014/main" id="{7B7BCA18-88F1-45D6-8ACD-83C2B6769A6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Edson" refreshedDate="42759.751282060184" createdVersion="4" refreshedVersion="6" minRefreshableVersion="3" recordCount="66">
  <cacheSource type="worksheet">
    <worksheetSource name="Lancamento"/>
  </cacheSource>
  <cacheFields count="9">
    <cacheField name="Chave" numFmtId="0">
      <sharedItems/>
    </cacheField>
    <cacheField name="Mês/Ano" numFmtId="0">
      <sharedItems count="20">
        <s v="1/2017"/>
        <s v="12/2017"/>
        <s v="12/2016"/>
        <s v="11/2017"/>
        <s v="2/2017"/>
        <s v="3/2017"/>
        <s v="4/2017"/>
        <s v="1/1900"/>
        <s v="7/2012" u="1"/>
        <s v="5/2012" u="1"/>
        <s v="11/2012" u="1"/>
        <s v="11/2016" u="1"/>
        <s v="8/2012" u="1"/>
        <s v="6/2012" u="1"/>
        <s v="1/2016" u="1"/>
        <s v="10/2012" u="1"/>
        <s v="12/2012" u="1"/>
        <s v="4/2012" u="1"/>
        <s v="9/2012" u="1"/>
        <s v="10/2016" u="1"/>
      </sharedItems>
    </cacheField>
    <cacheField name="Tipo despesa/receita" numFmtId="0">
      <sharedItems containsBlank="1" count="60">
        <s v="Salários"/>
        <s v="Recebimentos de Aluguel"/>
        <s v="Aposentadoria"/>
        <s v="Outros rendimentos"/>
        <s v="Aluguel/Prestação de imóvel"/>
        <s v="Condomínio"/>
        <s v="Seguro do imóvel"/>
        <s v="Gás"/>
        <s v="Luz"/>
        <s v="Telefones"/>
        <s v="Empregada - Diarista"/>
        <s v="TV por Assinatura"/>
        <s v="IPTU / Outros Impostos"/>
        <s v="Reformas/Consertos"/>
        <s v="Outros gastos moradia"/>
        <s v="Plano de Saúde"/>
        <s v="Médico / Psicólogos"/>
        <s v="Dentista"/>
        <s v="Medicamentos"/>
        <s v="Outros gastos saúde"/>
        <s v="Ônibus/Metrô/Trem"/>
        <s v="Táxi"/>
        <s v="Prestação Automóvel"/>
        <s v="Seguro do carro"/>
        <s v="IPVA"/>
        <s v="Mecânico"/>
        <s v="Multas"/>
        <s v="Combústivel"/>
        <s v="Outros gastos transporte"/>
        <s v="Higiene Pessoal"/>
        <s v="Cosméticos"/>
        <s v="Cabeleireiro"/>
        <s v="Vestuário"/>
        <s v="Lavanderia"/>
        <s v="Academia"/>
        <s v="Mesada"/>
        <s v="Celular"/>
        <s v="Outros gastos pessoais"/>
        <s v="Restaurantes Almoço/Jantar"/>
        <s v="Cafés/Bares/Boates"/>
        <s v="Assinaturas Jornais, Revistas"/>
        <s v="Netflix"/>
        <s v="Supermercado"/>
        <s v="Hotéis"/>
        <s v="Passeios/Férias"/>
        <s v="Outros gastos lazer"/>
        <s v="Bancos"/>
        <s v="MasterCard"/>
        <s v="Visa"/>
        <s v="Escola/Faculdade"/>
        <s v="Cursos Extras"/>
        <s v="Material escolar"/>
        <s v="Esportes/Uniformes"/>
        <s v="Outros gastos educação"/>
        <m/>
        <s v="Lavagens" u="1"/>
        <s v="Restaurantes" u="1"/>
        <s v="Assinaturas Jogos" u="1"/>
        <s v="Livraria/Jornal" u="1"/>
        <s v="American Express" u="1"/>
      </sharedItems>
    </cacheField>
    <cacheField name="Valor" numFmtId="0">
      <sharedItems containsString="0" containsBlank="1" containsNumber="1" minValue="0" maxValue="10000"/>
    </cacheField>
    <cacheField name="Pagto" numFmtId="0">
      <sharedItems containsNonDate="0" containsDate="1" containsString="0" containsBlank="1" minDate="2016-12-21T00:00:00" maxDate="2018-01-01T00:00:00"/>
    </cacheField>
    <cacheField name="Ccusto" numFmtId="14">
      <sharedItems containsBlank="1"/>
    </cacheField>
    <cacheField name="Vencimento" numFmtId="16">
      <sharedItems containsDate="1" containsMixedTypes="1" minDate="1899-12-30T00:00:00" maxDate="2016-10-26T00:00:00"/>
    </cacheField>
    <cacheField name="Descrição CC" numFmtId="14">
      <sharedItems count="3">
        <s v="Particular"/>
        <s v="Empresa"/>
        <e v="#N/A"/>
      </sharedItems>
    </cacheField>
    <cacheField name="Grupo" numFmtId="0">
      <sharedItems count="17">
        <s v="Receitas"/>
        <s v="Moradia"/>
        <s v="Saúde"/>
        <s v="Transporte"/>
        <s v="Despesas Pessoais"/>
        <s v="Alimentação"/>
        <s v="Lazer"/>
        <s v="Empréstimos e Cartões"/>
        <s v="Educação &amp; Filhos"/>
        <e v="#N/A"/>
        <s v="Automóvel" u="1"/>
        <s v="Camila" u="1"/>
        <s v="Educação" u="1"/>
        <s v="Telefonia" u="1"/>
        <s v="Viagens" u="1"/>
        <s v="Taxas/Seguros" u="1"/>
        <s v="Outras Despesas"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6">
  <r>
    <s v="1/2017Salários"/>
    <x v="0"/>
    <x v="0"/>
    <n v="10000"/>
    <d v="2017-01-05T00:00:00"/>
    <s v="P"/>
    <d v="2016-10-05T00:00:00"/>
    <x v="0"/>
    <x v="0"/>
  </r>
  <r>
    <s v="1/2017Recebimentos de Aluguel"/>
    <x v="0"/>
    <x v="1"/>
    <n v="0"/>
    <d v="2017-01-05T00:00:00"/>
    <s v="P"/>
    <d v="2016-10-10T00:00:00"/>
    <x v="0"/>
    <x v="0"/>
  </r>
  <r>
    <s v="1/2017Aposentadoria"/>
    <x v="0"/>
    <x v="2"/>
    <n v="0"/>
    <d v="2017-01-05T00:00:00"/>
    <s v="P"/>
    <d v="1899-12-30T00:00:00"/>
    <x v="0"/>
    <x v="0"/>
  </r>
  <r>
    <s v="1/2017Outros rendimentos"/>
    <x v="0"/>
    <x v="3"/>
    <n v="0"/>
    <d v="2017-01-10T00:00:00"/>
    <s v="P"/>
    <d v="2016-10-06T00:00:00"/>
    <x v="0"/>
    <x v="0"/>
  </r>
  <r>
    <s v="1/2017Aluguel/Prestação de imóvel"/>
    <x v="0"/>
    <x v="4"/>
    <n v="4294.51"/>
    <d v="2017-01-10T00:00:00"/>
    <s v="P"/>
    <d v="2016-10-15T00:00:00"/>
    <x v="0"/>
    <x v="1"/>
  </r>
  <r>
    <s v="1/2017Condomínio"/>
    <x v="0"/>
    <x v="5"/>
    <n v="690"/>
    <d v="2017-01-10T00:00:00"/>
    <s v="P"/>
    <d v="2016-10-10T00:00:00"/>
    <x v="0"/>
    <x v="1"/>
  </r>
  <r>
    <s v="1/2017Seguro do imóvel"/>
    <x v="0"/>
    <x v="6"/>
    <n v="0"/>
    <d v="2017-01-10T00:00:00"/>
    <s v="P"/>
    <d v="2016-10-10T00:00:00"/>
    <x v="0"/>
    <x v="1"/>
  </r>
  <r>
    <s v="1/2017Gás"/>
    <x v="0"/>
    <x v="7"/>
    <n v="98"/>
    <d v="2017-01-10T00:00:00"/>
    <s v="P"/>
    <d v="2016-10-08T00:00:00"/>
    <x v="0"/>
    <x v="1"/>
  </r>
  <r>
    <s v="1/2017Luz"/>
    <x v="0"/>
    <x v="8"/>
    <n v="100"/>
    <d v="2017-01-06T00:00:00"/>
    <s v="P"/>
    <d v="2016-10-08T00:00:00"/>
    <x v="0"/>
    <x v="1"/>
  </r>
  <r>
    <s v="1/2017Telefones"/>
    <x v="0"/>
    <x v="9"/>
    <n v="98"/>
    <d v="2017-01-06T00:00:00"/>
    <s v="E"/>
    <d v="1899-12-30T00:00:00"/>
    <x v="1"/>
    <x v="1"/>
  </r>
  <r>
    <s v="1/2017Empregada - Diarista"/>
    <x v="0"/>
    <x v="10"/>
    <n v="550"/>
    <d v="2017-01-05T00:00:00"/>
    <s v="P"/>
    <d v="2016-10-05T00:00:00"/>
    <x v="0"/>
    <x v="1"/>
  </r>
  <r>
    <s v="1/2017TV por Assinatura"/>
    <x v="0"/>
    <x v="11"/>
    <n v="290"/>
    <d v="2017-01-25T00:00:00"/>
    <s v="P"/>
    <d v="2016-10-10T00:00:00"/>
    <x v="0"/>
    <x v="1"/>
  </r>
  <r>
    <s v="12/2017IPTU / Outros Impostos"/>
    <x v="1"/>
    <x v="12"/>
    <n v="270.66000000000003"/>
    <d v="2017-12-01T00:00:00"/>
    <s v="E"/>
    <d v="2016-10-05T00:00:00"/>
    <x v="1"/>
    <x v="1"/>
  </r>
  <r>
    <s v="12/2017Reformas/Consertos"/>
    <x v="1"/>
    <x v="13"/>
    <n v="262.94"/>
    <d v="2017-12-12T00:00:00"/>
    <s v="E"/>
    <d v="1899-12-30T00:00:00"/>
    <x v="1"/>
    <x v="1"/>
  </r>
  <r>
    <s v="12/2017Outros gastos moradia"/>
    <x v="1"/>
    <x v="14"/>
    <n v="116.4"/>
    <d v="2017-12-16T00:00:00"/>
    <s v="P"/>
    <d v="1899-12-30T00:00:00"/>
    <x v="0"/>
    <x v="1"/>
  </r>
  <r>
    <s v="12/2017Plano de Saúde"/>
    <x v="1"/>
    <x v="15"/>
    <n v="26.29"/>
    <d v="2017-12-17T00:00:00"/>
    <s v="P"/>
    <d v="2016-10-25T00:00:00"/>
    <x v="0"/>
    <x v="2"/>
  </r>
  <r>
    <s v="12/2017Médico / Psicólogos"/>
    <x v="1"/>
    <x v="16"/>
    <n v="27.75"/>
    <d v="2017-12-18T00:00:00"/>
    <s v="P"/>
    <d v="1899-12-30T00:00:00"/>
    <x v="0"/>
    <x v="2"/>
  </r>
  <r>
    <s v="12/2017Dentista"/>
    <x v="1"/>
    <x v="17"/>
    <n v="142.75"/>
    <d v="2017-12-18T00:00:00"/>
    <s v="P"/>
    <d v="1899-12-30T00:00:00"/>
    <x v="0"/>
    <x v="2"/>
  </r>
  <r>
    <s v="12/2017Medicamentos"/>
    <x v="1"/>
    <x v="18"/>
    <n v="90.75"/>
    <d v="2017-12-19T00:00:00"/>
    <s v="P"/>
    <d v="1899-12-30T00:00:00"/>
    <x v="0"/>
    <x v="2"/>
  </r>
  <r>
    <s v="12/2017Outros gastos saúde"/>
    <x v="1"/>
    <x v="19"/>
    <n v="99.9"/>
    <d v="2017-12-19T00:00:00"/>
    <s v="P"/>
    <d v="1899-12-30T00:00:00"/>
    <x v="0"/>
    <x v="2"/>
  </r>
  <r>
    <s v="12/2017Ônibus/Metrô/Trem"/>
    <x v="1"/>
    <x v="20"/>
    <n v="278"/>
    <d v="2017-12-19T00:00:00"/>
    <s v="P"/>
    <d v="1899-12-30T00:00:00"/>
    <x v="0"/>
    <x v="3"/>
  </r>
  <r>
    <s v="12/2017Táxi"/>
    <x v="1"/>
    <x v="21"/>
    <n v="100.87"/>
    <d v="2017-12-20T00:00:00"/>
    <s v="P"/>
    <d v="1899-12-30T00:00:00"/>
    <x v="0"/>
    <x v="3"/>
  </r>
  <r>
    <s v="12/2017Prestação Automóvel"/>
    <x v="1"/>
    <x v="22"/>
    <n v="54"/>
    <d v="2017-12-20T00:00:00"/>
    <s v="P"/>
    <d v="1899-12-30T00:00:00"/>
    <x v="0"/>
    <x v="3"/>
  </r>
  <r>
    <s v="12/2017Seguro do carro"/>
    <x v="1"/>
    <x v="23"/>
    <n v="141.6"/>
    <d v="2017-12-20T00:00:00"/>
    <s v="P"/>
    <d v="2016-10-08T00:00:00"/>
    <x v="0"/>
    <x v="3"/>
  </r>
  <r>
    <s v="12/2017IPVA"/>
    <x v="1"/>
    <x v="24"/>
    <n v="245.9"/>
    <d v="2017-12-20T00:00:00"/>
    <s v="P"/>
    <d v="1899-12-30T00:00:00"/>
    <x v="0"/>
    <x v="3"/>
  </r>
  <r>
    <s v="12/2016Mecânico"/>
    <x v="2"/>
    <x v="25"/>
    <n v="61.97"/>
    <d v="2016-12-21T00:00:00"/>
    <s v="P"/>
    <d v="1899-12-30T00:00:00"/>
    <x v="0"/>
    <x v="3"/>
  </r>
  <r>
    <s v="12/2017Multas"/>
    <x v="1"/>
    <x v="26"/>
    <n v="2.62"/>
    <d v="2017-12-22T00:00:00"/>
    <s v="P"/>
    <d v="1899-12-30T00:00:00"/>
    <x v="0"/>
    <x v="3"/>
  </r>
  <r>
    <s v="12/2017Combústivel"/>
    <x v="1"/>
    <x v="27"/>
    <n v="299.89999999999998"/>
    <d v="2017-12-22T00:00:00"/>
    <s v="P"/>
    <d v="1899-12-30T00:00:00"/>
    <x v="0"/>
    <x v="3"/>
  </r>
  <r>
    <s v="12/2017Outros gastos transporte"/>
    <x v="1"/>
    <x v="28"/>
    <n v="77.7"/>
    <d v="2017-12-22T00:00:00"/>
    <s v="P"/>
    <d v="1899-12-30T00:00:00"/>
    <x v="0"/>
    <x v="3"/>
  </r>
  <r>
    <s v="12/2017Higiene Pessoal"/>
    <x v="1"/>
    <x v="29"/>
    <n v="275"/>
    <d v="2017-12-22T00:00:00"/>
    <s v="P"/>
    <d v="1899-12-30T00:00:00"/>
    <x v="0"/>
    <x v="4"/>
  </r>
  <r>
    <s v="12/2017Cosméticos"/>
    <x v="1"/>
    <x v="30"/>
    <n v="136.19"/>
    <d v="2017-12-22T00:00:00"/>
    <s v="P"/>
    <d v="1899-12-30T00:00:00"/>
    <x v="0"/>
    <x v="4"/>
  </r>
  <r>
    <s v="12/2017Cabeleireiro"/>
    <x v="1"/>
    <x v="31"/>
    <n v="16.899999999999999"/>
    <d v="2017-12-23T00:00:00"/>
    <s v="P"/>
    <d v="1899-12-30T00:00:00"/>
    <x v="0"/>
    <x v="4"/>
  </r>
  <r>
    <s v="12/2017Vestuário"/>
    <x v="1"/>
    <x v="32"/>
    <n v="149.15"/>
    <d v="2017-12-23T00:00:00"/>
    <s v="P"/>
    <d v="1899-12-30T00:00:00"/>
    <x v="0"/>
    <x v="4"/>
  </r>
  <r>
    <s v="12/2017Lavanderia"/>
    <x v="1"/>
    <x v="33"/>
    <n v="71.5"/>
    <d v="2017-12-23T00:00:00"/>
    <s v="P"/>
    <d v="1899-12-30T00:00:00"/>
    <x v="0"/>
    <x v="4"/>
  </r>
  <r>
    <s v="12/2017Academia"/>
    <x v="1"/>
    <x v="34"/>
    <n v="153.16"/>
    <d v="2017-12-26T00:00:00"/>
    <s v="P"/>
    <d v="1899-12-30T00:00:00"/>
    <x v="0"/>
    <x v="4"/>
  </r>
  <r>
    <s v="12/2017Mesada"/>
    <x v="1"/>
    <x v="35"/>
    <n v="106.96"/>
    <d v="2017-12-26T00:00:00"/>
    <s v="P"/>
    <d v="1899-12-30T00:00:00"/>
    <x v="0"/>
    <x v="4"/>
  </r>
  <r>
    <s v="12/2017Celular"/>
    <x v="1"/>
    <x v="36"/>
    <n v="167"/>
    <d v="2017-12-26T00:00:00"/>
    <s v="P"/>
    <d v="1899-12-30T00:00:00"/>
    <x v="0"/>
    <x v="4"/>
  </r>
  <r>
    <s v="12/2017Outros gastos pessoais"/>
    <x v="1"/>
    <x v="37"/>
    <n v="99.99"/>
    <d v="2017-12-27T00:00:00"/>
    <s v="P"/>
    <d v="1899-12-30T00:00:00"/>
    <x v="0"/>
    <x v="4"/>
  </r>
  <r>
    <s v="12/2017Restaurantes Almoço/Jantar"/>
    <x v="1"/>
    <x v="38"/>
    <n v="54.22"/>
    <d v="2017-12-27T00:00:00"/>
    <s v="P"/>
    <d v="1899-12-30T00:00:00"/>
    <x v="0"/>
    <x v="5"/>
  </r>
  <r>
    <s v="12/2017Cafés/Bares/Boates"/>
    <x v="1"/>
    <x v="39"/>
    <n v="163.87"/>
    <d v="2017-12-28T00:00:00"/>
    <s v="P"/>
    <d v="1899-12-30T00:00:00"/>
    <x v="0"/>
    <x v="6"/>
  </r>
  <r>
    <s v="12/2017Assinaturas Jornais, Revistas"/>
    <x v="1"/>
    <x v="40"/>
    <n v="238.38"/>
    <d v="2017-12-29T00:00:00"/>
    <s v="P"/>
    <d v="1899-12-30T00:00:00"/>
    <x v="0"/>
    <x v="6"/>
  </r>
  <r>
    <s v="12/2017Netflix"/>
    <x v="1"/>
    <x v="41"/>
    <n v="42.46"/>
    <d v="2017-12-29T00:00:00"/>
    <s v="P"/>
    <d v="1899-12-30T00:00:00"/>
    <x v="0"/>
    <x v="6"/>
  </r>
  <r>
    <s v="12/2017Supermercado"/>
    <x v="1"/>
    <x v="42"/>
    <n v="134.79"/>
    <d v="2017-12-30T00:00:00"/>
    <s v="P"/>
    <d v="1899-12-30T00:00:00"/>
    <x v="0"/>
    <x v="5"/>
  </r>
  <r>
    <s v="12/2017Hotéis"/>
    <x v="1"/>
    <x v="43"/>
    <n v="95.45"/>
    <d v="2017-12-30T00:00:00"/>
    <s v="P"/>
    <d v="1899-12-30T00:00:00"/>
    <x v="0"/>
    <x v="6"/>
  </r>
  <r>
    <s v="12/2017Passeios/Férias"/>
    <x v="1"/>
    <x v="44"/>
    <n v="52.95"/>
    <d v="2017-12-31T00:00:00"/>
    <s v="P"/>
    <d v="1899-12-30T00:00:00"/>
    <x v="0"/>
    <x v="6"/>
  </r>
  <r>
    <s v="12/2017Outros gastos lazer"/>
    <x v="1"/>
    <x v="45"/>
    <n v="139.80000000000001"/>
    <d v="2017-12-31T00:00:00"/>
    <s v="P"/>
    <d v="1899-12-30T00:00:00"/>
    <x v="0"/>
    <x v="6"/>
  </r>
  <r>
    <s v="1/2017Bancos"/>
    <x v="0"/>
    <x v="46"/>
    <n v="0"/>
    <d v="2017-01-01T00:00:00"/>
    <s v="P"/>
    <d v="1899-12-30T00:00:00"/>
    <x v="0"/>
    <x v="7"/>
  </r>
  <r>
    <s v="1/2017MasterCard"/>
    <x v="0"/>
    <x v="47"/>
    <n v="0"/>
    <d v="2017-01-02T00:00:00"/>
    <s v="P"/>
    <d v="1899-12-30T00:00:00"/>
    <x v="0"/>
    <x v="7"/>
  </r>
  <r>
    <s v="1/2017Visa"/>
    <x v="0"/>
    <x v="48"/>
    <n v="0"/>
    <d v="2017-01-02T00:00:00"/>
    <s v="P"/>
    <d v="1899-12-30T00:00:00"/>
    <x v="0"/>
    <x v="7"/>
  </r>
  <r>
    <s v="1/2017Combústivel"/>
    <x v="0"/>
    <x v="27"/>
    <n v="0"/>
    <d v="2017-01-03T00:00:00"/>
    <s v="E"/>
    <d v="1899-12-30T00:00:00"/>
    <x v="1"/>
    <x v="3"/>
  </r>
  <r>
    <s v="1/2017Escola/Faculdade"/>
    <x v="0"/>
    <x v="49"/>
    <n v="0"/>
    <d v="2017-01-03T00:00:00"/>
    <s v="P"/>
    <d v="1899-12-30T00:00:00"/>
    <x v="0"/>
    <x v="8"/>
  </r>
  <r>
    <s v="1/2017Cursos Extras"/>
    <x v="0"/>
    <x v="50"/>
    <n v="0"/>
    <d v="2017-01-04T00:00:00"/>
    <s v="P"/>
    <d v="1899-12-30T00:00:00"/>
    <x v="0"/>
    <x v="8"/>
  </r>
  <r>
    <s v="1/2017Material escolar"/>
    <x v="0"/>
    <x v="51"/>
    <n v="0"/>
    <d v="2017-01-05T00:00:00"/>
    <s v="P"/>
    <d v="1899-12-30T00:00:00"/>
    <x v="0"/>
    <x v="8"/>
  </r>
  <r>
    <s v="1/2017Esportes/Uniformes"/>
    <x v="0"/>
    <x v="52"/>
    <n v="0"/>
    <d v="2017-01-07T00:00:00"/>
    <s v="P"/>
    <d v="1899-12-30T00:00:00"/>
    <x v="0"/>
    <x v="8"/>
  </r>
  <r>
    <s v="1/2017Outros gastos educação"/>
    <x v="0"/>
    <x v="53"/>
    <n v="0"/>
    <d v="2017-01-07T00:00:00"/>
    <s v="P"/>
    <d v="1899-12-30T00:00:00"/>
    <x v="0"/>
    <x v="8"/>
  </r>
  <r>
    <s v="11/2017Condomínio"/>
    <x v="3"/>
    <x v="5"/>
    <n v="300"/>
    <d v="2017-11-23T00:00:00"/>
    <s v="P"/>
    <d v="2016-10-10T00:00:00"/>
    <x v="0"/>
    <x v="1"/>
  </r>
  <r>
    <s v="1/2017Mecânico"/>
    <x v="0"/>
    <x v="25"/>
    <n v="425.88"/>
    <d v="2017-01-28T00:00:00"/>
    <s v="P"/>
    <d v="1899-12-30T00:00:00"/>
    <x v="0"/>
    <x v="3"/>
  </r>
  <r>
    <s v="2/2017Mecânico"/>
    <x v="4"/>
    <x v="25"/>
    <n v="425.88"/>
    <d v="2017-02-28T00:00:00"/>
    <s v="P"/>
    <d v="1899-12-30T00:00:00"/>
    <x v="0"/>
    <x v="3"/>
  </r>
  <r>
    <s v="3/2017Mecânico"/>
    <x v="5"/>
    <x v="25"/>
    <n v="425.88"/>
    <d v="2017-03-28T00:00:00"/>
    <s v="P"/>
    <d v="1899-12-30T00:00:00"/>
    <x v="0"/>
    <x v="3"/>
  </r>
  <r>
    <s v="1/2017Mecânico"/>
    <x v="0"/>
    <x v="25"/>
    <n v="680"/>
    <d v="2017-01-28T00:00:00"/>
    <s v="P"/>
    <d v="1899-12-30T00:00:00"/>
    <x v="0"/>
    <x v="3"/>
  </r>
  <r>
    <s v="2/2017Mecânico"/>
    <x v="4"/>
    <x v="25"/>
    <n v="680"/>
    <d v="2017-02-28T00:00:00"/>
    <s v="P"/>
    <d v="1899-12-30T00:00:00"/>
    <x v="0"/>
    <x v="3"/>
  </r>
  <r>
    <s v="3/2017Mecânico"/>
    <x v="5"/>
    <x v="25"/>
    <n v="680"/>
    <d v="2017-03-28T00:00:00"/>
    <s v="P"/>
    <d v="1899-12-30T00:00:00"/>
    <x v="0"/>
    <x v="3"/>
  </r>
  <r>
    <s v="4/2017Mecânico"/>
    <x v="6"/>
    <x v="25"/>
    <n v="680"/>
    <d v="2017-04-28T00:00:00"/>
    <s v="P"/>
    <d v="1899-12-30T00:00:00"/>
    <x v="0"/>
    <x v="3"/>
  </r>
  <r>
    <s v="1/1900"/>
    <x v="7"/>
    <x v="54"/>
    <m/>
    <m/>
    <m/>
    <e v="#N/A"/>
    <x v="2"/>
    <x v="9"/>
  </r>
  <r>
    <s v="1/1900"/>
    <x v="7"/>
    <x v="54"/>
    <m/>
    <m/>
    <m/>
    <e v="#N/A"/>
    <x v="2"/>
    <x v="9"/>
  </r>
  <r>
    <s v="1/1900"/>
    <x v="7"/>
    <x v="54"/>
    <m/>
    <m/>
    <m/>
    <e v="#N/A"/>
    <x v="2"/>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a dinâmica1" cacheId="0" applyNumberFormats="0" applyBorderFormats="0" applyFontFormats="0" applyPatternFormats="0" applyAlignmentFormats="0" applyWidthHeightFormats="1" dataCaption="Valores" updatedVersion="6" minRefreshableVersion="3" useAutoFormatting="1" itemPrintTitles="1" createdVersion="4" indent="0" outline="1" outlineData="1" multipleFieldFilters="0" chartFormat="1">
  <location ref="K7:L11" firstHeaderRow="1" firstDataRow="1" firstDataCol="1" rowPageCount="3" colPageCount="1"/>
  <pivotFields count="9">
    <pivotField showAll="0"/>
    <pivotField axis="axisPage" showAll="0">
      <items count="21">
        <item x="7"/>
        <item m="1" x="14"/>
        <item m="1" x="15"/>
        <item m="1" x="19"/>
        <item m="1" x="10"/>
        <item m="1" x="11"/>
        <item m="1" x="16"/>
        <item x="2"/>
        <item m="1" x="17"/>
        <item m="1" x="9"/>
        <item m="1" x="13"/>
        <item m="1" x="8"/>
        <item m="1" x="12"/>
        <item m="1" x="18"/>
        <item x="0"/>
        <item x="1"/>
        <item x="3"/>
        <item x="4"/>
        <item x="5"/>
        <item x="6"/>
        <item t="default"/>
      </items>
    </pivotField>
    <pivotField axis="axisPage" multipleItemSelectionAllowed="1" showAll="0">
      <items count="61">
        <item x="34"/>
        <item x="4"/>
        <item m="1" x="59"/>
        <item x="2"/>
        <item m="1" x="57"/>
        <item x="46"/>
        <item x="31"/>
        <item x="39"/>
        <item x="36"/>
        <item x="5"/>
        <item x="30"/>
        <item x="50"/>
        <item x="17"/>
        <item x="10"/>
        <item x="49"/>
        <item x="52"/>
        <item x="7"/>
        <item x="29"/>
        <item x="43"/>
        <item x="12"/>
        <item x="24"/>
        <item m="1" x="55"/>
        <item x="33"/>
        <item m="1" x="58"/>
        <item x="8"/>
        <item x="47"/>
        <item x="51"/>
        <item x="25"/>
        <item x="18"/>
        <item x="16"/>
        <item x="35"/>
        <item x="26"/>
        <item x="41"/>
        <item x="20"/>
        <item x="53"/>
        <item x="45"/>
        <item x="14"/>
        <item x="37"/>
        <item x="19"/>
        <item x="28"/>
        <item x="3"/>
        <item x="44"/>
        <item x="15"/>
        <item x="22"/>
        <item x="1"/>
        <item x="13"/>
        <item m="1" x="56"/>
        <item x="0"/>
        <item x="23"/>
        <item x="6"/>
        <item x="21"/>
        <item x="9"/>
        <item x="11"/>
        <item x="32"/>
        <item x="48"/>
        <item x="27"/>
        <item x="38"/>
        <item x="40"/>
        <item x="42"/>
        <item x="54"/>
        <item t="default"/>
      </items>
    </pivotField>
    <pivotField dataField="1" showAll="0"/>
    <pivotField numFmtId="14" showAll="0"/>
    <pivotField showAll="0"/>
    <pivotField numFmtId="16" showAll="0"/>
    <pivotField axis="axisRow" showAll="0">
      <items count="4">
        <item x="0"/>
        <item x="1"/>
        <item x="2"/>
        <item t="default"/>
      </items>
    </pivotField>
    <pivotField axis="axisPage" multipleItemSelectionAllowed="1" showAll="0">
      <items count="18">
        <item x="5"/>
        <item m="1" x="10"/>
        <item m="1" x="11"/>
        <item x="4"/>
        <item m="1" x="12"/>
        <item x="7"/>
        <item x="6"/>
        <item x="1"/>
        <item m="1" x="16"/>
        <item h="1" x="0"/>
        <item x="2"/>
        <item m="1" x="15"/>
        <item m="1" x="13"/>
        <item x="3"/>
        <item m="1" x="14"/>
        <item x="9"/>
        <item h="1" x="8"/>
        <item t="default"/>
      </items>
    </pivotField>
  </pivotFields>
  <rowFields count="1">
    <field x="7"/>
  </rowFields>
  <rowItems count="4">
    <i>
      <x/>
    </i>
    <i>
      <x v="1"/>
    </i>
    <i>
      <x v="2"/>
    </i>
    <i t="grand">
      <x/>
    </i>
  </rowItems>
  <colItems count="1">
    <i/>
  </colItems>
  <pageFields count="3">
    <pageField fld="1" hier="-1"/>
    <pageField fld="2" hier="-1"/>
    <pageField fld="8" hier="-1"/>
  </pageFields>
  <dataFields count="1">
    <dataField name="Soma de Valor" fld="3" baseField="7" baseItem="0" numFmtId="4"/>
  </dataFields>
  <chartFormats count="4">
    <chartFormat chart="0" format="1" series="1">
      <pivotArea type="data" outline="0" fieldPosition="0">
        <references count="1">
          <reference field="4294967294" count="1" selected="0">
            <x v="0"/>
          </reference>
        </references>
      </pivotArea>
    </chartFormat>
    <chartFormat chart="0" format="2">
      <pivotArea type="data" outline="0" fieldPosition="0">
        <references count="2">
          <reference field="4294967294" count="1" selected="0">
            <x v="0"/>
          </reference>
          <reference field="7" count="1" selected="0">
            <x v="0"/>
          </reference>
        </references>
      </pivotArea>
    </chartFormat>
    <chartFormat chart="0" format="3">
      <pivotArea type="data" outline="0" fieldPosition="0">
        <references count="2">
          <reference field="4294967294" count="1" selected="0">
            <x v="0"/>
          </reference>
          <reference field="7" count="1" selected="0">
            <x v="1"/>
          </reference>
        </references>
      </pivotArea>
    </chartFormat>
    <chartFormat chart="0" format="4">
      <pivotArea type="data" outline="0" fieldPosition="0">
        <references count="2">
          <reference field="4294967294" count="1" selected="0">
            <x v="0"/>
          </reference>
          <reference field="7"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ela dinâmica2" cacheId="0" applyNumberFormats="0" applyBorderFormats="0" applyFontFormats="0" applyPatternFormats="0" applyAlignmentFormats="0" applyWidthHeightFormats="1" dataCaption="Valores" updatedVersion="6" minRefreshableVersion="3" useAutoFormatting="1" itemPrintTitles="1" createdVersion="4" indent="0" outline="1" outlineData="1" multipleFieldFilters="0" chartFormat="1">
  <location ref="A6:B10" firstHeaderRow="1" firstDataRow="1" firstDataCol="1" rowPageCount="2" colPageCount="1"/>
  <pivotFields count="9">
    <pivotField showAll="0"/>
    <pivotField axis="axisPage" multipleItemSelectionAllowed="1" showAll="0">
      <items count="21">
        <item h="1" x="7"/>
        <item h="1" m="1" x="15"/>
        <item h="1" m="1" x="10"/>
        <item h="1" m="1" x="16"/>
        <item h="1" m="1" x="17"/>
        <item h="1" m="1" x="9"/>
        <item h="1" m="1" x="13"/>
        <item m="1" x="8"/>
        <item h="1" m="1" x="12"/>
        <item h="1" m="1" x="18"/>
        <item m="1" x="14"/>
        <item m="1" x="19"/>
        <item h="1" x="2"/>
        <item m="1" x="11"/>
        <item x="0"/>
        <item h="1" x="1"/>
        <item h="1" x="3"/>
        <item h="1" x="4"/>
        <item h="1" x="5"/>
        <item h="1" x="6"/>
        <item t="default"/>
      </items>
    </pivotField>
    <pivotField axis="axisPage" showAll="0" defaultSubtotal="0">
      <items count="60">
        <item x="34"/>
        <item x="4"/>
        <item m="1" x="59"/>
        <item x="2"/>
        <item m="1" x="57"/>
        <item x="46"/>
        <item x="31"/>
        <item x="39"/>
        <item x="36"/>
        <item x="5"/>
        <item x="30"/>
        <item x="50"/>
        <item x="17"/>
        <item x="10"/>
        <item x="49"/>
        <item x="52"/>
        <item x="7"/>
        <item x="29"/>
        <item x="43"/>
        <item x="12"/>
        <item x="24"/>
        <item m="1" x="55"/>
        <item x="33"/>
        <item m="1" x="58"/>
        <item x="8"/>
        <item x="47"/>
        <item x="51"/>
        <item x="25"/>
        <item x="18"/>
        <item x="16"/>
        <item x="35"/>
        <item x="26"/>
        <item x="41"/>
        <item x="20"/>
        <item x="53"/>
        <item x="45"/>
        <item x="14"/>
        <item x="37"/>
        <item x="19"/>
        <item x="28"/>
        <item x="3"/>
        <item x="44"/>
        <item x="15"/>
        <item x="22"/>
        <item x="1"/>
        <item x="13"/>
        <item m="1" x="56"/>
        <item x="0"/>
        <item x="23"/>
        <item x="6"/>
        <item x="21"/>
        <item x="9"/>
        <item x="11"/>
        <item x="32"/>
        <item x="48"/>
        <item x="27"/>
        <item x="38"/>
        <item x="40"/>
        <item x="42"/>
        <item x="54"/>
      </items>
    </pivotField>
    <pivotField dataField="1" showAll="0"/>
    <pivotField showAll="0" defaultSubtotal="0"/>
    <pivotField showAll="0" defaultSubtotal="0"/>
    <pivotField numFmtId="16" showAll="0" defaultSubtotal="0"/>
    <pivotField showAll="0" defaultSubtotal="0"/>
    <pivotField axis="axisRow" showAll="0" sortType="descending">
      <items count="18">
        <item x="5"/>
        <item m="1" x="10"/>
        <item m="1" x="11"/>
        <item m="1" x="12"/>
        <item x="1"/>
        <item m="1" x="13"/>
        <item x="9"/>
        <item x="2"/>
        <item x="6"/>
        <item m="1" x="15"/>
        <item m="1" x="14"/>
        <item m="1" x="16"/>
        <item h="1" x="0"/>
        <item x="3"/>
        <item x="4"/>
        <item x="7"/>
        <item h="1" x="8"/>
        <item t="default"/>
      </items>
      <autoSortScope>
        <pivotArea dataOnly="0" outline="0" fieldPosition="0">
          <references count="1">
            <reference field="4294967294" count="1" selected="0">
              <x v="0"/>
            </reference>
          </references>
        </pivotArea>
      </autoSortScope>
    </pivotField>
  </pivotFields>
  <rowFields count="1">
    <field x="8"/>
  </rowFields>
  <rowItems count="4">
    <i>
      <x v="4"/>
    </i>
    <i>
      <x v="13"/>
    </i>
    <i>
      <x v="15"/>
    </i>
    <i t="grand">
      <x/>
    </i>
  </rowItems>
  <colItems count="1">
    <i/>
  </colItems>
  <pageFields count="2">
    <pageField fld="1" hier="-1"/>
    <pageField fld="2" hier="-1"/>
  </pageFields>
  <dataFields count="1">
    <dataField name="Soma de Valor" fld="3" baseField="5" baseItem="0" numFmtId="3"/>
  </dataFields>
  <formats count="14">
    <format dxfId="13">
      <pivotArea type="all" dataOnly="0" outline="0" fieldPosition="0"/>
    </format>
    <format dxfId="12">
      <pivotArea outline="0" collapsedLevelsAreSubtotals="1" fieldPosition="0"/>
    </format>
    <format dxfId="11">
      <pivotArea field="8" type="button" dataOnly="0" labelOnly="1" outline="0" axis="axisRow" fieldPosition="0"/>
    </format>
    <format dxfId="10">
      <pivotArea dataOnly="0" labelOnly="1" outline="0" axis="axisValues" fieldPosition="0"/>
    </format>
    <format dxfId="9">
      <pivotArea dataOnly="0" labelOnly="1" fieldPosition="0">
        <references count="1">
          <reference field="8" count="8">
            <x v="0"/>
            <x v="2"/>
            <x v="3"/>
            <x v="4"/>
            <x v="7"/>
            <x v="8"/>
            <x v="10"/>
            <x v="11"/>
          </reference>
        </references>
      </pivotArea>
    </format>
    <format dxfId="8">
      <pivotArea dataOnly="0" labelOnly="1" grandRow="1" outline="0" fieldPosition="0"/>
    </format>
    <format dxfId="7">
      <pivotArea dataOnly="0" labelOnly="1" outline="0" axis="axisValues" fieldPosition="0"/>
    </format>
    <format dxfId="6">
      <pivotArea type="all" dataOnly="0" outline="0" fieldPosition="0"/>
    </format>
    <format dxfId="5">
      <pivotArea outline="0" collapsedLevelsAreSubtotals="1" fieldPosition="0"/>
    </format>
    <format dxfId="4">
      <pivotArea field="8" type="button" dataOnly="0" labelOnly="1" outline="0" axis="axisRow" fieldPosition="0"/>
    </format>
    <format dxfId="3">
      <pivotArea dataOnly="0" labelOnly="1" outline="0" axis="axisValues" fieldPosition="0"/>
    </format>
    <format dxfId="2">
      <pivotArea dataOnly="0" labelOnly="1" fieldPosition="0">
        <references count="1">
          <reference field="8" count="8">
            <x v="0"/>
            <x v="2"/>
            <x v="3"/>
            <x v="4"/>
            <x v="7"/>
            <x v="8"/>
            <x v="10"/>
            <x v="11"/>
          </reference>
        </references>
      </pivotArea>
    </format>
    <format dxfId="1">
      <pivotArea dataOnly="0" labelOnly="1" grandRow="1" outline="0" fieldPosition="0"/>
    </format>
    <format dxfId="0">
      <pivotArea dataOnly="0" labelOnly="1" outline="0" axis="axisValues" fieldPosition="0"/>
    </format>
  </formats>
  <chartFormats count="1">
    <chartFormat chart="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2" name="Planodecontas" displayName="Planodecontas" ref="A1:D58" totalsRowCount="1" headerRowDxfId="127" dataDxfId="126" totalsRowDxfId="125">
  <autoFilter ref="A1:D57"/>
  <tableColumns count="4">
    <tableColumn id="1" name="Tipo Despesa" totalsRowLabel="TOTAL" dataDxfId="124" totalsRowDxfId="123"/>
    <tableColumn id="2" name="Grupo" dataDxfId="122" totalsRowDxfId="121"/>
    <tableColumn id="3" name="Vlr Referência Meta/Mês" totalsRowFunction="sum" dataDxfId="120" totalsRowDxfId="119" dataCellStyle="Vírgula"/>
    <tableColumn id="4" name="Vencimento" dataDxfId="118" totalsRowDxfId="117"/>
  </tableColumns>
  <tableStyleInfo name="TableStyleDark5" showFirstColumn="0" showLastColumn="0" showRowStripes="1" showColumnStripes="0"/>
</table>
</file>

<file path=xl/tables/table2.xml><?xml version="1.0" encoding="utf-8"?>
<table xmlns="http://schemas.openxmlformats.org/spreadsheetml/2006/main" id="1" name="Lancamento" displayName="Lancamento" ref="A1:I67" totalsRowShown="0" headerRowDxfId="116" dataDxfId="115">
  <autoFilter ref="A1:I67"/>
  <tableColumns count="9">
    <tableColumn id="4" name="Chave" dataDxfId="114">
      <calculatedColumnFormula>CONCATENATE(Lancamento[[#This Row],[Mês/Ano]],Lancamento[[#This Row],[Tipo despesa/receita]])</calculatedColumnFormula>
    </tableColumn>
    <tableColumn id="6" name="Mês/Ano" dataDxfId="113">
      <calculatedColumnFormula>CONCATENATE(MONTH(E2),"/",YEAR(E2))</calculatedColumnFormula>
    </tableColumn>
    <tableColumn id="1" name="Tipo despesa/receita" dataDxfId="112"/>
    <tableColumn id="3" name="Valor" dataDxfId="111" dataCellStyle="Vírgula"/>
    <tableColumn id="7" name="Pagto" dataDxfId="110"/>
    <tableColumn id="9" name="Ccusto" dataDxfId="109"/>
    <tableColumn id="10" name="Vencimento" dataDxfId="108">
      <calculatedColumnFormula>VLOOKUP(Lancamento[[#This Row],[Tipo despesa/receita]],Planodecontas[],4,FALSE)</calculatedColumnFormula>
    </tableColumn>
    <tableColumn id="2" name="Descrição CC" dataDxfId="107">
      <calculatedColumnFormula>VLOOKUP(Lancamento[[#This Row],[Ccusto]],Tabela3[],2,FALSE)</calculatedColumnFormula>
    </tableColumn>
    <tableColumn id="8" name="Grupo" dataDxfId="106">
      <calculatedColumnFormula>VLOOKUP(Lancamento[[#This Row],[Tipo despesa/receita]],Planodecontas[],2,FALSE)</calculatedColumnFormula>
    </tableColumn>
  </tableColumns>
  <tableStyleInfo name="TableStyleDark5" showFirstColumn="0" showLastColumn="0" showRowStripes="1" showColumnStripes="0"/>
</table>
</file>

<file path=xl/tables/table3.xml><?xml version="1.0" encoding="utf-8"?>
<table xmlns="http://schemas.openxmlformats.org/spreadsheetml/2006/main" id="3" name="Tabela3" displayName="Tabela3" ref="M1:N3" totalsRowShown="0" headerRowDxfId="105" dataDxfId="104">
  <tableColumns count="2">
    <tableColumn id="1" name="Ccusto" dataDxfId="103"/>
    <tableColumn id="2" name="Desscrição" dataDxfId="102"/>
  </tableColumns>
  <tableStyleInfo name="TableStyleDark5" showFirstColumn="0" showLastColumn="0" showRowStripes="1" showColumnStripes="0"/>
</table>
</file>

<file path=xl/tables/table4.xml><?xml version="1.0" encoding="utf-8"?>
<table xmlns="http://schemas.openxmlformats.org/spreadsheetml/2006/main" id="5" name="Tabela5" displayName="Tabela5" ref="A3:O7" headerRowCount="0" totalsRowShown="0" headerRowDxfId="83" dataDxfId="81" headerRowBorderDxfId="82" tableBorderDxfId="80" totalsRowBorderDxfId="79" headerRowCellStyle="Vírgula">
  <tableColumns count="15">
    <tableColumn id="1" name="Coluna1" headerRowDxfId="78" dataDxfId="77"/>
    <tableColumn id="2" name="Coluna2" headerRowDxfId="76" dataDxfId="75" dataCellStyle="Vírgula">
      <calculatedColumnFormula>VLOOKUP(A3,Planodecontas[],3,FALSE)</calculatedColumnFormula>
    </tableColumn>
    <tableColumn id="3" name="Coluna3" headerRowDxfId="74" dataDxfId="73" headerRowCellStyle="Vírgula" dataCellStyle="Vírgula">
      <calculatedColumnFormula>IF(SUMIF(Lançamento!$A$2:$A$67,"="&amp;CONCATENATE(C$10,$A3),Lançamento!$D$2:$D$67) &lt;=0,IF(_xlfn.NUMBERVALUE(CONCATENATE(YEAR($A$10),MONTH($A$10)))&lt;_xlfn.NUMBERVALUE(CONCATENATE($B$2,MONTH(C$2))),VLOOKUP(Tabela5[[#This Row],[Coluna1]],Planodecontas[],3,FALSE),0), SUMIF(Lançamento!$A$2:$A$67,"="&amp;CONCATENATE(C$10,$A3),Lançamento!$D$2:$D$67))</calculatedColumnFormula>
    </tableColumn>
    <tableColumn id="4" name="Coluna4" headerRowDxfId="72" dataDxfId="71" headerRowCellStyle="Vírgula" dataCellStyle="Vírgula">
      <calculatedColumnFormula>IF(SUMIF(Lançamento!$A$2:$A$67,"="&amp;CONCATENATE(D$10,$A3),Lançamento!$D$2:$D$67) &lt;=0,IF(_xlfn.NUMBERVALUE(CONCATENATE(YEAR($A$10),MONTH($A$10)))&lt;_xlfn.NUMBERVALUE(CONCATENATE($B$2,MONTH(D$2))),VLOOKUP(Tabela5[[#This Row],[Coluna1]],Planodecontas[],3,FALSE),0), SUMIF(Lançamento!$A$2:$A$67,"="&amp;CONCATENATE(D$10,$A3),Lançamento!$D$2:$D$67))</calculatedColumnFormula>
    </tableColumn>
    <tableColumn id="5" name="Coluna5" headerRowDxfId="70" dataDxfId="69" headerRowCellStyle="Vírgula" dataCellStyle="Vírgula">
      <calculatedColumnFormula>IF(SUMIF(Lançamento!$A$2:$A$67,"="&amp;CONCATENATE(E$10,$A3),Lançamento!$D$2:$D$67) &lt;=0,IF(_xlfn.NUMBERVALUE(CONCATENATE(YEAR($A$10),MONTH($A$10)))&lt;_xlfn.NUMBERVALUE(CONCATENATE($B$2,MONTH(E$2))),VLOOKUP(Tabela5[[#This Row],[Coluna1]],Planodecontas[],3,FALSE),0), SUMIF(Lançamento!$A$2:$A$67,"="&amp;CONCATENATE(E$10,$A3),Lançamento!$D$2:$D$67))</calculatedColumnFormula>
    </tableColumn>
    <tableColumn id="6" name="Coluna6" headerRowDxfId="68" dataDxfId="67" headerRowCellStyle="Vírgula" dataCellStyle="Vírgula">
      <calculatedColumnFormula>IF(SUMIF(Lançamento!$A$2:$A$67,"="&amp;CONCATENATE(F$10,$A3),Lançamento!$D$2:$D$67) &lt;=0,IF(_xlfn.NUMBERVALUE(CONCATENATE(YEAR($A$10),MONTH($A$10)))&lt;_xlfn.NUMBERVALUE(CONCATENATE($B$2,MONTH(F$2))),VLOOKUP(Tabela5[[#This Row],[Coluna1]],Planodecontas[],3,FALSE),0), SUMIF(Lançamento!$A$2:$A$67,"="&amp;CONCATENATE(F$10,$A3),Lançamento!$D$2:$D$67))</calculatedColumnFormula>
    </tableColumn>
    <tableColumn id="7" name="Coluna7" headerRowDxfId="66" dataDxfId="65" headerRowCellStyle="Vírgula" dataCellStyle="Vírgula">
      <calculatedColumnFormula>IF(SUMIF(Lançamento!$A$2:$A$67,"="&amp;CONCATENATE(G$10,$A3),Lançamento!$D$2:$D$67) &lt;=0,IF(_xlfn.NUMBERVALUE(CONCATENATE(YEAR($A$10),MONTH($A$10)))&lt;_xlfn.NUMBERVALUE(CONCATENATE($B$2,MONTH(G$2))),VLOOKUP(Tabela5[[#This Row],[Coluna1]],Planodecontas[],3,FALSE),0), SUMIF(Lançamento!$A$2:$A$67,"="&amp;CONCATENATE(G$10,$A3),Lançamento!$D$2:$D$67))</calculatedColumnFormula>
    </tableColumn>
    <tableColumn id="8" name="Coluna8" headerRowDxfId="64" dataDxfId="63" headerRowCellStyle="Vírgula" dataCellStyle="Vírgula">
      <calculatedColumnFormula>IF(SUMIF(Lançamento!$A$2:$A$67,"="&amp;CONCATENATE(H$10,$A3),Lançamento!$D$2:$D$67) &lt;=0,IF(_xlfn.NUMBERVALUE(CONCATENATE(YEAR($A$10),MONTH($A$10)))&lt;_xlfn.NUMBERVALUE(CONCATENATE($B$2,MONTH(H$2))),VLOOKUP(Tabela5[[#This Row],[Coluna1]],Planodecontas[],3,FALSE),0), SUMIF(Lançamento!$A$2:$A$67,"="&amp;CONCATENATE(H$10,$A3),Lançamento!$D$2:$D$67))</calculatedColumnFormula>
    </tableColumn>
    <tableColumn id="9" name="Coluna9" headerRowDxfId="62" dataDxfId="61" headerRowCellStyle="Vírgula" dataCellStyle="Vírgula">
      <calculatedColumnFormula>IF(SUMIF(Lançamento!$A$2:$A$67,"="&amp;CONCATENATE(I$10,$A3),Lançamento!$D$2:$D$67) &lt;=0,IF(_xlfn.NUMBERVALUE(CONCATENATE(YEAR($A$10),MONTH($A$10)))&lt;_xlfn.NUMBERVALUE(CONCATENATE($B$2,MONTH(I$2))),VLOOKUP(Tabela5[[#This Row],[Coluna1]],Planodecontas[],3,FALSE),0), SUMIF(Lançamento!$A$2:$A$67,"="&amp;CONCATENATE(I$10,$A3),Lançamento!$D$2:$D$67))</calculatedColumnFormula>
    </tableColumn>
    <tableColumn id="10" name="Coluna10" headerRowDxfId="60" dataDxfId="59" headerRowCellStyle="Vírgula" dataCellStyle="Vírgula">
      <calculatedColumnFormula>IF(SUMIF(Lançamento!$A$2:$A$67,"="&amp;CONCATENATE(J$10,$A3),Lançamento!$D$2:$D$67) &lt;=0,IF(_xlfn.NUMBERVALUE(CONCATENATE(YEAR($A$10),MONTH($A$10)))&lt;_xlfn.NUMBERVALUE(CONCATENATE($B$2,MONTH(J$2))),VLOOKUP(Tabela5[[#This Row],[Coluna1]],Planodecontas[],3,FALSE),0), SUMIF(Lançamento!$A$2:$A$67,"="&amp;CONCATENATE(J$10,$A3),Lançamento!$D$2:$D$67))</calculatedColumnFormula>
    </tableColumn>
    <tableColumn id="11" name="Coluna11" headerRowDxfId="58" dataDxfId="57" headerRowCellStyle="Vírgula" dataCellStyle="Vírgula">
      <calculatedColumnFormula>IF(SUMIF(Lançamento!$A$2:$A$67,"="&amp;CONCATENATE(K$10,$A3),Lançamento!$D$2:$D$67) &lt;=0,IF(_xlfn.NUMBERVALUE(CONCATENATE(YEAR($A$10),MONTH($A$10)))&lt;_xlfn.NUMBERVALUE(CONCATENATE($B$2,MONTH(K$2))),VLOOKUP(Tabela5[[#This Row],[Coluna1]],Planodecontas[],3,FALSE),0), SUMIF(Lançamento!$A$2:$A$67,"="&amp;CONCATENATE(K$10,$A3),Lançamento!$D$2:$D$67))</calculatedColumnFormula>
    </tableColumn>
    <tableColumn id="12" name="Coluna12" headerRowDxfId="56" dataDxfId="55" headerRowCellStyle="Vírgula" dataCellStyle="Vírgula">
      <calculatedColumnFormula>IF(SUMIF(Lançamento!$A$2:$A$67,"="&amp;CONCATENATE(L$10,$A3),Lançamento!$D$2:$D$67) &lt;=0,IF(_xlfn.NUMBERVALUE(CONCATENATE(YEAR($A$10),MONTH($A$10)))&lt;_xlfn.NUMBERVALUE(CONCATENATE($B$2,MONTH(L$2))),VLOOKUP(Tabela5[[#This Row],[Coluna1]],Planodecontas[],3,FALSE),0), SUMIF(Lançamento!$A$2:$A$67,"="&amp;CONCATENATE(L$10,$A3),Lançamento!$D$2:$D$67))</calculatedColumnFormula>
    </tableColumn>
    <tableColumn id="13" name="Coluna13" headerRowDxfId="54" dataDxfId="53" headerRowCellStyle="Vírgula" dataCellStyle="Vírgula">
      <calculatedColumnFormula>IF(SUMIF(Lançamento!$A$2:$A$67,"="&amp;CONCATENATE(M$10,$A3),Lançamento!$D$2:$D$67) &lt;=0,IF(_xlfn.NUMBERVALUE(CONCATENATE(YEAR($A$10),MONTH($A$10)))&lt;_xlfn.NUMBERVALUE(CONCATENATE($B$2,MONTH(M$2))),VLOOKUP(Tabela5[[#This Row],[Coluna1]],Planodecontas[],3,FALSE),0), SUMIF(Lançamento!$A$2:$A$67,"="&amp;CONCATENATE(M$10,$A3),Lançamento!$D$2:$D$67))</calculatedColumnFormula>
    </tableColumn>
    <tableColumn id="15" name="Coluna15" headerRowDxfId="52" dataDxfId="51" headerRowCellStyle="Vírgula" dataCellStyle="Vírgula">
      <calculatedColumnFormula>IF(SUMIF(Lançamento!$A$2:$A$67,"="&amp;CONCATENATE(N$10,$A3),Lançamento!$D$2:$D$67) &lt;=0,IF(_xlfn.NUMBERVALUE(CONCATENATE(YEAR($A$10),MONTH($A$10)))&lt;_xlfn.NUMBERVALUE(CONCATENATE($B$2,MONTH(N$2))),VLOOKUP(Tabela5[[#This Row],[Coluna1]],Planodecontas[],3,FALSE),0), SUMIF(Lançamento!$A$2:$A$67,"="&amp;CONCATENATE(N$10,$A3),Lançamento!$D$2:$D$67))</calculatedColumnFormula>
    </tableColumn>
    <tableColumn id="14" name="Coluna14" headerRowDxfId="50" dataDxfId="49" headerRowCellStyle="Vírgula"/>
  </tableColumns>
  <tableStyleInfo name="TableStyleDark5" showFirstColumn="0" showLastColumn="0" showRowStripes="1" showColumnStripes="0"/>
</table>
</file>

<file path=xl/tables/table5.xml><?xml version="1.0" encoding="utf-8"?>
<table xmlns="http://schemas.openxmlformats.org/spreadsheetml/2006/main" id="6" name="Tabela6" displayName="Tabela6" ref="A11:O61" headerRowCount="0" totalsRowShown="0" headerRowDxfId="48" dataDxfId="46" headerRowBorderDxfId="47" tableBorderDxfId="45" totalsRowBorderDxfId="44" headerRowCellStyle="Vírgula" dataCellStyle="Vírgula">
  <tableColumns count="15">
    <tableColumn id="1" name="Coluna1" headerRowDxfId="43" dataDxfId="42"/>
    <tableColumn id="2" name="Coluna2" headerRowDxfId="41" dataDxfId="40" headerRowCellStyle="Vírgula" dataCellStyle="Vírgula"/>
    <tableColumn id="3" name="Coluna3" headerRowDxfId="39" dataDxfId="38" headerRowCellStyle="Vírgula" dataCellStyle="Vírgula">
      <calculatedColumnFormula>IF(SUMIF(Lançamento!$A$2:$A$67,"="&amp;CONCATENATE(C$10,$A11),Lançamento!$D$2:$D$67) &lt;=0,IF(_xlfn.NUMBERVALUE(CONCATENATE(YEAR($A$10),MONTH($A$10)))&lt;_xlfn.NUMBERVALUE(CONCATENATE($B$2,MONTH(C$2))),VLOOKUP(Tabela6[[#This Row],[Coluna1]],Planodecontas[],3,FALSE),0), SUMIF(Lançamento!$A$2:$A$67,"="&amp;CONCATENATE(C$10,$A11),Lançamento!$D$2:$D$67))</calculatedColumnFormula>
    </tableColumn>
    <tableColumn id="4" name="Coluna4" headerRowDxfId="37" dataDxfId="36" headerRowCellStyle="Vírgula" dataCellStyle="Vírgula">
      <calculatedColumnFormula>IF(SUMIF(Lançamento!$A$2:$A$67,"="&amp;CONCATENATE(D$10,$A11),Lançamento!$D$2:$D$67) &lt;=0,IF(_xlfn.NUMBERVALUE(CONCATENATE(YEAR($A$10),MONTH($A$10)))&lt;_xlfn.NUMBERVALUE(CONCATENATE($B$2,MONTH(D$2))),VLOOKUP(Tabela6[[#This Row],[Coluna1]],Planodecontas[],3,FALSE),0), SUMIF(Lançamento!$A$2:$A$67,"="&amp;CONCATENATE(D$10,$A11),Lançamento!$D$2:$D$67))</calculatedColumnFormula>
    </tableColumn>
    <tableColumn id="5" name="Coluna5" headerRowDxfId="35" dataDxfId="34" headerRowCellStyle="Vírgula" dataCellStyle="Vírgula">
      <calculatedColumnFormula>IF(SUMIF(Lançamento!$A$2:$A$67,"="&amp;CONCATENATE(E$10,$A11),Lançamento!$D$2:$D$67) &lt;=0,IF(_xlfn.NUMBERVALUE(CONCATENATE(YEAR($A$10),MONTH($A$10)))&lt;_xlfn.NUMBERVALUE(CONCATENATE($B$2,MONTH(E$2))),VLOOKUP(Tabela6[[#This Row],[Coluna1]],Planodecontas[],3,FALSE),0), SUMIF(Lançamento!$A$2:$A$67,"="&amp;CONCATENATE(E$10,$A11),Lançamento!$D$2:$D$67))</calculatedColumnFormula>
    </tableColumn>
    <tableColumn id="6" name="Coluna6" headerRowDxfId="33" dataDxfId="32" headerRowCellStyle="Vírgula" dataCellStyle="Vírgula">
      <calculatedColumnFormula>IF(SUMIF(Lançamento!$A$2:$A$67,"="&amp;CONCATENATE(F$10,$A11),Lançamento!$D$2:$D$67) &lt;=0,IF(_xlfn.NUMBERVALUE(CONCATENATE(YEAR($A$10),MONTH($A$10)))&lt;_xlfn.NUMBERVALUE(CONCATENATE($B$2,MONTH(F$2))),VLOOKUP(Tabela6[[#This Row],[Coluna1]],Planodecontas[],3,FALSE),0), SUMIF(Lançamento!$A$2:$A$67,"="&amp;CONCATENATE(F$10,$A11),Lançamento!$D$2:$D$67))</calculatedColumnFormula>
    </tableColumn>
    <tableColumn id="7" name="Coluna7" headerRowDxfId="31" dataDxfId="30" headerRowCellStyle="Vírgula" dataCellStyle="Vírgula">
      <calculatedColumnFormula>IF(SUMIF(Lançamento!$A$2:$A$67,"="&amp;CONCATENATE(G$10,$A11),Lançamento!$D$2:$D$67) &lt;=0,IF(_xlfn.NUMBERVALUE(CONCATENATE(YEAR($A$10),MONTH($A$10)))&lt;_xlfn.NUMBERVALUE(CONCATENATE($B$2,MONTH(G$2))),VLOOKUP(Tabela6[[#This Row],[Coluna1]],Planodecontas[],3,FALSE),0), SUMIF(Lançamento!$A$2:$A$67,"="&amp;CONCATENATE(G$10,$A11),Lançamento!$D$2:$D$67))</calculatedColumnFormula>
    </tableColumn>
    <tableColumn id="8" name="Coluna8" headerRowDxfId="29" dataDxfId="28" headerRowCellStyle="Vírgula" dataCellStyle="Vírgula">
      <calculatedColumnFormula>IF(SUMIF(Lançamento!$A$2:$A$67,"="&amp;CONCATENATE(H$10,$A11),Lançamento!$D$2:$D$67) &lt;=0,IF(_xlfn.NUMBERVALUE(CONCATENATE(YEAR($A$10),MONTH($A$10)))&lt;_xlfn.NUMBERVALUE(CONCATENATE($B$2,MONTH(H$2))),VLOOKUP(Tabela6[[#This Row],[Coluna1]],Planodecontas[],3,FALSE),0), SUMIF(Lançamento!$A$2:$A$67,"="&amp;CONCATENATE(H$10,$A11),Lançamento!$D$2:$D$67))</calculatedColumnFormula>
    </tableColumn>
    <tableColumn id="9" name="Coluna9" headerRowDxfId="27" dataDxfId="26" headerRowCellStyle="Vírgula" dataCellStyle="Vírgula">
      <calculatedColumnFormula>IF(SUMIF(Lançamento!$A$2:$A$67,"="&amp;CONCATENATE(I$10,$A11),Lançamento!$D$2:$D$67) &lt;=0,IF(_xlfn.NUMBERVALUE(CONCATENATE(YEAR($A$10),MONTH($A$10)))&lt;_xlfn.NUMBERVALUE(CONCATENATE($B$2,MONTH(I$2))),VLOOKUP(Tabela6[[#This Row],[Coluna1]],Planodecontas[],3,FALSE),0), SUMIF(Lançamento!$A$2:$A$67,"="&amp;CONCATENATE(I$10,$A11),Lançamento!$D$2:$D$67))</calculatedColumnFormula>
    </tableColumn>
    <tableColumn id="10" name="Coluna10" headerRowDxfId="25" dataDxfId="24" headerRowCellStyle="Vírgula" dataCellStyle="Vírgula">
      <calculatedColumnFormula>IF(SUMIF(Lançamento!$A$2:$A$67,"="&amp;CONCATENATE(J$10,$A11),Lançamento!$D$2:$D$67) &lt;=0,IF(_xlfn.NUMBERVALUE(CONCATENATE(YEAR($A$10),MONTH($A$10)))&lt;_xlfn.NUMBERVALUE(CONCATENATE($B$2,MONTH(J$2))),VLOOKUP(Tabela6[[#This Row],[Coluna1]],Planodecontas[],3,FALSE),0), SUMIF(Lançamento!$A$2:$A$67,"="&amp;CONCATENATE(J$10,$A11),Lançamento!$D$2:$D$67))</calculatedColumnFormula>
    </tableColumn>
    <tableColumn id="11" name="Coluna11" headerRowDxfId="23" dataDxfId="22" headerRowCellStyle="Vírgula" dataCellStyle="Vírgula">
      <calculatedColumnFormula>IF(SUMIF(Lançamento!$A$2:$A$67,"="&amp;CONCATENATE(K$10,$A11),Lançamento!$D$2:$D$67) &lt;=0,IF(_xlfn.NUMBERVALUE(CONCATENATE(YEAR($A$10),MONTH($A$10)))&lt;_xlfn.NUMBERVALUE(CONCATENATE($B$2,MONTH(K$2))),VLOOKUP(Tabela6[[#This Row],[Coluna1]],Planodecontas[],3,FALSE),0), SUMIF(Lançamento!$A$2:$A$67,"="&amp;CONCATENATE(K$10,$A11),Lançamento!$D$2:$D$67))</calculatedColumnFormula>
    </tableColumn>
    <tableColumn id="12" name="Coluna12" headerRowDxfId="21" dataDxfId="20" headerRowCellStyle="Vírgula" dataCellStyle="Vírgula">
      <calculatedColumnFormula>IF(SUMIF(Lançamento!$A$2:$A$67,"="&amp;CONCATENATE(L$10,$A11),Lançamento!$D$2:$D$67) &lt;=0,IF(_xlfn.NUMBERVALUE(CONCATENATE(YEAR($A$10),MONTH($A$10)))&lt;_xlfn.NUMBERVALUE(CONCATENATE($B$2,MONTH(L$2))),VLOOKUP(Tabela6[[#This Row],[Coluna1]],Planodecontas[],3,FALSE),0), SUMIF(Lançamento!$A$2:$A$67,"="&amp;CONCATENATE(L$10,$A11),Lançamento!$D$2:$D$67))</calculatedColumnFormula>
    </tableColumn>
    <tableColumn id="13" name="Coluna13" headerRowDxfId="19" dataDxfId="18" headerRowCellStyle="Vírgula" dataCellStyle="Vírgula">
      <calculatedColumnFormula>IF(SUMIF(Lançamento!$A$2:$A$67,"="&amp;CONCATENATE(M$10,$A11),Lançamento!$D$2:$D$67) &lt;=0,IF(_xlfn.NUMBERVALUE(CONCATENATE(YEAR($A$10),MONTH($A$10)))&lt;_xlfn.NUMBERVALUE(CONCATENATE($B$2,MONTH(M$2))),VLOOKUP(Tabela6[[#This Row],[Coluna1]],Planodecontas[],3,FALSE),0), SUMIF(Lançamento!$A$2:$A$67,"="&amp;CONCATENATE(M$10,$A11),Lançamento!$D$2:$D$67))</calculatedColumnFormula>
    </tableColumn>
    <tableColumn id="14" name="Coluna14" headerRowDxfId="17" dataDxfId="16" headerRowCellStyle="Vírgula" dataCellStyle="Vírgula">
      <calculatedColumnFormula>IF(SUMIF(Lançamento!$A$2:$A$67,"="&amp;CONCATENATE(N$10,$A11),Lançamento!$D$2:$D$67) &lt;=0,IF(_xlfn.NUMBERVALUE(CONCATENATE(YEAR($A$10),MONTH($A$10)))&lt;_xlfn.NUMBERVALUE(CONCATENATE($B$2,MONTH(N$2))),VLOOKUP(Tabela6[[#This Row],[Coluna1]],Planodecontas[],3,FALSE),0), SUMIF(Lançamento!$A$2:$A$67,"="&amp;CONCATENATE(N$10,$A11),Lançamento!$D$2:$D$67))</calculatedColumnFormula>
    </tableColumn>
    <tableColumn id="15" name="Coluna15" headerRowDxfId="15" dataDxfId="14" headerRowCellStyle="Vírgula" dataCellStyle="Vírgula">
      <calculatedColumnFormula>SUM(Tabela6[[#This Row],[Coluna3]:[Coluna14]])</calculatedColumnFormula>
    </tableColumn>
  </tableColumns>
  <tableStyleInfo name="TableStyleMedium26"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showGridLines="0" showRowColHeaders="0" tabSelected="1" workbookViewId="0">
      <selection sqref="A1:U1"/>
    </sheetView>
  </sheetViews>
  <sheetFormatPr defaultRowHeight="15" x14ac:dyDescent="0.25"/>
  <cols>
    <col min="1" max="16384" width="9.140625" style="54"/>
  </cols>
  <sheetData>
    <row r="1" spans="1:21" ht="52.5" customHeight="1" x14ac:dyDescent="0.25">
      <c r="A1" s="85" t="s">
        <v>88</v>
      </c>
      <c r="B1" s="85"/>
      <c r="C1" s="85"/>
      <c r="D1" s="85"/>
      <c r="E1" s="85"/>
      <c r="F1" s="85"/>
      <c r="G1" s="85"/>
      <c r="H1" s="85"/>
      <c r="I1" s="85"/>
      <c r="J1" s="85"/>
      <c r="K1" s="85"/>
      <c r="L1" s="85"/>
      <c r="M1" s="85"/>
      <c r="N1" s="85"/>
      <c r="O1" s="85"/>
      <c r="P1" s="85"/>
      <c r="Q1" s="85"/>
      <c r="R1" s="85"/>
      <c r="S1" s="85"/>
      <c r="T1" s="85"/>
      <c r="U1" s="85"/>
    </row>
    <row r="48" spans="1:11" x14ac:dyDescent="0.25">
      <c r="A48"/>
      <c r="B48"/>
      <c r="C48"/>
      <c r="D48"/>
      <c r="E48"/>
      <c r="F48"/>
      <c r="G48"/>
      <c r="H48"/>
      <c r="I48"/>
      <c r="J48"/>
      <c r="K48"/>
    </row>
    <row r="49" spans="1:11" x14ac:dyDescent="0.25">
      <c r="A49"/>
      <c r="B49"/>
      <c r="C49"/>
      <c r="D49"/>
      <c r="E49"/>
      <c r="F49"/>
      <c r="G49"/>
      <c r="H49"/>
      <c r="I49"/>
      <c r="J49"/>
      <c r="K49"/>
    </row>
    <row r="50" spans="1:11" x14ac:dyDescent="0.25">
      <c r="A50"/>
      <c r="B50"/>
      <c r="C50"/>
      <c r="D50"/>
      <c r="E50"/>
      <c r="F50"/>
      <c r="G50"/>
      <c r="H50"/>
      <c r="I50"/>
      <c r="J50"/>
      <c r="K50"/>
    </row>
    <row r="51" spans="1:11" x14ac:dyDescent="0.25">
      <c r="A51"/>
      <c r="B51"/>
      <c r="C51"/>
      <c r="D51"/>
      <c r="E51"/>
      <c r="F51"/>
      <c r="G51"/>
      <c r="H51"/>
      <c r="I51"/>
      <c r="J51"/>
      <c r="K51"/>
    </row>
    <row r="52" spans="1:11" x14ac:dyDescent="0.25">
      <c r="A52"/>
      <c r="B52"/>
      <c r="C52"/>
      <c r="D52"/>
      <c r="E52"/>
      <c r="F52"/>
      <c r="G52"/>
      <c r="H52"/>
      <c r="I52"/>
      <c r="J52"/>
      <c r="K52"/>
    </row>
    <row r="53" spans="1:11" x14ac:dyDescent="0.25">
      <c r="A53"/>
      <c r="B53"/>
      <c r="C53"/>
      <c r="D53"/>
      <c r="E53"/>
      <c r="F53"/>
      <c r="G53"/>
      <c r="H53"/>
      <c r="I53"/>
      <c r="J53"/>
      <c r="K53"/>
    </row>
    <row r="54" spans="1:11" x14ac:dyDescent="0.25">
      <c r="A54"/>
      <c r="B54"/>
      <c r="C54"/>
      <c r="D54"/>
      <c r="E54"/>
      <c r="F54"/>
      <c r="G54"/>
      <c r="H54"/>
      <c r="I54"/>
      <c r="J54"/>
      <c r="K54"/>
    </row>
    <row r="55" spans="1:11" x14ac:dyDescent="0.25">
      <c r="A55"/>
      <c r="B55"/>
      <c r="C55"/>
      <c r="D55"/>
      <c r="E55"/>
      <c r="F55"/>
      <c r="G55"/>
      <c r="H55"/>
      <c r="I55"/>
      <c r="J55"/>
      <c r="K55"/>
    </row>
    <row r="56" spans="1:11" x14ac:dyDescent="0.25">
      <c r="A56"/>
      <c r="B56"/>
      <c r="C56"/>
      <c r="D56"/>
      <c r="E56"/>
      <c r="F56"/>
      <c r="G56"/>
      <c r="H56"/>
      <c r="I56"/>
      <c r="J56"/>
      <c r="K56"/>
    </row>
  </sheetData>
  <mergeCells count="1">
    <mergeCell ref="A1:U1"/>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workbookViewId="0">
      <selection activeCell="B1" sqref="B1"/>
    </sheetView>
  </sheetViews>
  <sheetFormatPr defaultRowHeight="15" x14ac:dyDescent="0.25"/>
  <cols>
    <col min="1" max="1" width="26.7109375" style="54" customWidth="1"/>
    <col min="2" max="2" width="16.5703125" style="54" bestFit="1" customWidth="1"/>
    <col min="3" max="3" width="21.28515625" style="54" bestFit="1" customWidth="1"/>
    <col min="4" max="4" width="14.140625" style="54" bestFit="1" customWidth="1"/>
    <col min="5" max="7" width="9.140625" style="54"/>
    <col min="8" max="8" width="21.7109375" style="54" bestFit="1" customWidth="1"/>
    <col min="9" max="16384" width="9.140625" style="54"/>
  </cols>
  <sheetData>
    <row r="1" spans="1:4" x14ac:dyDescent="0.25">
      <c r="A1" s="56" t="s">
        <v>6</v>
      </c>
      <c r="B1" s="54" t="s">
        <v>5</v>
      </c>
      <c r="C1" s="54" t="s">
        <v>78</v>
      </c>
      <c r="D1" s="54" t="s">
        <v>79</v>
      </c>
    </row>
    <row r="2" spans="1:4" x14ac:dyDescent="0.25">
      <c r="A2" s="56" t="s">
        <v>25</v>
      </c>
      <c r="B2" s="54" t="s">
        <v>33</v>
      </c>
      <c r="C2" s="59">
        <v>8000</v>
      </c>
      <c r="D2" s="62">
        <v>42648</v>
      </c>
    </row>
    <row r="3" spans="1:4" x14ac:dyDescent="0.25">
      <c r="A3" s="56" t="s">
        <v>26</v>
      </c>
      <c r="B3" s="54" t="s">
        <v>33</v>
      </c>
      <c r="C3" s="59">
        <v>0</v>
      </c>
      <c r="D3" s="62">
        <v>42653</v>
      </c>
    </row>
    <row r="4" spans="1:4" x14ac:dyDescent="0.25">
      <c r="A4" s="56" t="s">
        <v>76</v>
      </c>
      <c r="B4" s="54" t="s">
        <v>33</v>
      </c>
      <c r="C4" s="59">
        <v>0</v>
      </c>
    </row>
    <row r="5" spans="1:4" x14ac:dyDescent="0.25">
      <c r="A5" s="56" t="s">
        <v>82</v>
      </c>
      <c r="B5" s="54" t="s">
        <v>33</v>
      </c>
      <c r="C5" s="59">
        <v>0</v>
      </c>
    </row>
    <row r="6" spans="1:4" x14ac:dyDescent="0.25">
      <c r="A6" s="56" t="s">
        <v>77</v>
      </c>
      <c r="B6" s="54" t="s">
        <v>33</v>
      </c>
      <c r="C6" s="59">
        <v>500</v>
      </c>
      <c r="D6" s="62">
        <v>42649</v>
      </c>
    </row>
    <row r="7" spans="1:4" x14ac:dyDescent="0.25">
      <c r="A7" s="56" t="s">
        <v>63</v>
      </c>
      <c r="B7" s="54" t="s">
        <v>0</v>
      </c>
      <c r="C7" s="59">
        <v>1500</v>
      </c>
      <c r="D7" s="62">
        <v>42658</v>
      </c>
    </row>
    <row r="8" spans="1:4" x14ac:dyDescent="0.25">
      <c r="A8" s="56" t="s">
        <v>1</v>
      </c>
      <c r="B8" s="54" t="s">
        <v>0</v>
      </c>
      <c r="C8" s="59">
        <v>450</v>
      </c>
      <c r="D8" s="62">
        <v>42653</v>
      </c>
    </row>
    <row r="9" spans="1:4" x14ac:dyDescent="0.25">
      <c r="A9" s="56" t="s">
        <v>27</v>
      </c>
      <c r="B9" s="54" t="s">
        <v>0</v>
      </c>
      <c r="C9" s="59">
        <v>0</v>
      </c>
      <c r="D9" s="62">
        <v>42653</v>
      </c>
    </row>
    <row r="10" spans="1:4" x14ac:dyDescent="0.25">
      <c r="A10" s="56" t="s">
        <v>28</v>
      </c>
      <c r="B10" s="54" t="s">
        <v>0</v>
      </c>
      <c r="C10" s="59">
        <v>98</v>
      </c>
      <c r="D10" s="62">
        <v>42651</v>
      </c>
    </row>
    <row r="11" spans="1:4" x14ac:dyDescent="0.25">
      <c r="A11" s="56" t="s">
        <v>29</v>
      </c>
      <c r="B11" s="54" t="s">
        <v>0</v>
      </c>
      <c r="C11" s="59">
        <v>120</v>
      </c>
      <c r="D11" s="62">
        <v>42651</v>
      </c>
    </row>
    <row r="12" spans="1:4" x14ac:dyDescent="0.25">
      <c r="A12" s="56" t="s">
        <v>30</v>
      </c>
      <c r="B12" s="54" t="s">
        <v>0</v>
      </c>
      <c r="C12" s="59">
        <v>98</v>
      </c>
    </row>
    <row r="13" spans="1:4" x14ac:dyDescent="0.25">
      <c r="A13" s="56" t="s">
        <v>62</v>
      </c>
      <c r="B13" s="54" t="s">
        <v>0</v>
      </c>
      <c r="C13" s="59">
        <v>0</v>
      </c>
      <c r="D13" s="62">
        <v>42648</v>
      </c>
    </row>
    <row r="14" spans="1:4" x14ac:dyDescent="0.25">
      <c r="A14" s="56" t="s">
        <v>31</v>
      </c>
      <c r="B14" s="54" t="s">
        <v>0</v>
      </c>
      <c r="C14" s="59">
        <v>75</v>
      </c>
      <c r="D14" s="62">
        <v>42653</v>
      </c>
    </row>
    <row r="15" spans="1:4" x14ac:dyDescent="0.25">
      <c r="A15" s="56" t="s">
        <v>64</v>
      </c>
      <c r="B15" s="54" t="s">
        <v>0</v>
      </c>
      <c r="C15" s="59">
        <v>170</v>
      </c>
      <c r="D15" s="62">
        <v>42648</v>
      </c>
    </row>
    <row r="16" spans="1:4" x14ac:dyDescent="0.25">
      <c r="A16" s="56" t="s">
        <v>32</v>
      </c>
      <c r="B16" s="54" t="s">
        <v>0</v>
      </c>
      <c r="C16" s="59">
        <v>0</v>
      </c>
    </row>
    <row r="17" spans="1:4" x14ac:dyDescent="0.25">
      <c r="A17" s="56" t="s">
        <v>65</v>
      </c>
      <c r="B17" s="54" t="s">
        <v>0</v>
      </c>
      <c r="C17" s="59">
        <v>0</v>
      </c>
    </row>
    <row r="18" spans="1:4" x14ac:dyDescent="0.25">
      <c r="A18" s="56" t="s">
        <v>34</v>
      </c>
      <c r="B18" s="54" t="s">
        <v>23</v>
      </c>
      <c r="C18" s="59">
        <v>450</v>
      </c>
      <c r="D18" s="62">
        <v>42668</v>
      </c>
    </row>
    <row r="19" spans="1:4" x14ac:dyDescent="0.25">
      <c r="A19" s="56" t="s">
        <v>66</v>
      </c>
      <c r="B19" s="54" t="s">
        <v>23</v>
      </c>
      <c r="C19" s="59">
        <v>0</v>
      </c>
    </row>
    <row r="20" spans="1:4" x14ac:dyDescent="0.25">
      <c r="A20" s="56" t="s">
        <v>35</v>
      </c>
      <c r="B20" s="54" t="s">
        <v>23</v>
      </c>
      <c r="C20" s="59">
        <v>0</v>
      </c>
    </row>
    <row r="21" spans="1:4" x14ac:dyDescent="0.25">
      <c r="A21" s="56" t="s">
        <v>36</v>
      </c>
      <c r="B21" s="54" t="s">
        <v>23</v>
      </c>
      <c r="C21" s="59">
        <v>0</v>
      </c>
    </row>
    <row r="22" spans="1:4" x14ac:dyDescent="0.25">
      <c r="A22" s="56" t="s">
        <v>67</v>
      </c>
      <c r="B22" s="54" t="s">
        <v>23</v>
      </c>
      <c r="C22" s="59">
        <v>0</v>
      </c>
    </row>
    <row r="23" spans="1:4" x14ac:dyDescent="0.25">
      <c r="A23" s="56" t="s">
        <v>37</v>
      </c>
      <c r="B23" s="54" t="s">
        <v>43</v>
      </c>
      <c r="C23" s="59">
        <v>0</v>
      </c>
    </row>
    <row r="24" spans="1:4" x14ac:dyDescent="0.25">
      <c r="A24" s="56" t="s">
        <v>38</v>
      </c>
      <c r="B24" s="54" t="s">
        <v>43</v>
      </c>
      <c r="C24" s="59">
        <v>0</v>
      </c>
    </row>
    <row r="25" spans="1:4" x14ac:dyDescent="0.25">
      <c r="A25" s="56" t="s">
        <v>68</v>
      </c>
      <c r="B25" s="54" t="s">
        <v>43</v>
      </c>
      <c r="C25" s="59">
        <v>0</v>
      </c>
    </row>
    <row r="26" spans="1:4" x14ac:dyDescent="0.25">
      <c r="A26" s="56" t="s">
        <v>39</v>
      </c>
      <c r="B26" s="54" t="s">
        <v>43</v>
      </c>
      <c r="C26" s="59">
        <v>0</v>
      </c>
      <c r="D26" s="62">
        <v>42651</v>
      </c>
    </row>
    <row r="27" spans="1:4" x14ac:dyDescent="0.25">
      <c r="A27" s="56" t="s">
        <v>40</v>
      </c>
      <c r="B27" s="54" t="s">
        <v>43</v>
      </c>
      <c r="C27" s="59">
        <v>0</v>
      </c>
    </row>
    <row r="28" spans="1:4" x14ac:dyDescent="0.25">
      <c r="A28" s="56" t="s">
        <v>41</v>
      </c>
      <c r="B28" s="54" t="s">
        <v>43</v>
      </c>
      <c r="C28" s="59">
        <v>0</v>
      </c>
    </row>
    <row r="29" spans="1:4" x14ac:dyDescent="0.25">
      <c r="A29" s="56" t="s">
        <v>42</v>
      </c>
      <c r="B29" s="54" t="s">
        <v>43</v>
      </c>
      <c r="C29" s="59">
        <v>0</v>
      </c>
    </row>
    <row r="30" spans="1:4" x14ac:dyDescent="0.25">
      <c r="A30" s="56" t="s">
        <v>103</v>
      </c>
      <c r="B30" s="54" t="s">
        <v>43</v>
      </c>
      <c r="C30" s="59">
        <v>300</v>
      </c>
    </row>
    <row r="31" spans="1:4" x14ac:dyDescent="0.25">
      <c r="A31" s="56" t="s">
        <v>69</v>
      </c>
      <c r="B31" s="54" t="s">
        <v>43</v>
      </c>
      <c r="C31" s="59"/>
    </row>
    <row r="32" spans="1:4" x14ac:dyDescent="0.25">
      <c r="A32" s="56" t="s">
        <v>44</v>
      </c>
      <c r="B32" s="54" t="s">
        <v>51</v>
      </c>
      <c r="C32" s="59"/>
    </row>
    <row r="33" spans="1:3" x14ac:dyDescent="0.25">
      <c r="A33" s="56" t="s">
        <v>45</v>
      </c>
      <c r="B33" s="54" t="s">
        <v>51</v>
      </c>
      <c r="C33" s="59"/>
    </row>
    <row r="34" spans="1:3" x14ac:dyDescent="0.25">
      <c r="A34" s="56" t="s">
        <v>46</v>
      </c>
      <c r="B34" s="54" t="s">
        <v>51</v>
      </c>
      <c r="C34" s="59">
        <f>55</f>
        <v>55</v>
      </c>
    </row>
    <row r="35" spans="1:3" x14ac:dyDescent="0.25">
      <c r="A35" s="56" t="s">
        <v>47</v>
      </c>
      <c r="B35" s="54" t="s">
        <v>51</v>
      </c>
      <c r="C35" s="59"/>
    </row>
    <row r="36" spans="1:3" x14ac:dyDescent="0.25">
      <c r="A36" s="56" t="s">
        <v>48</v>
      </c>
      <c r="B36" s="54" t="s">
        <v>51</v>
      </c>
      <c r="C36" s="59"/>
    </row>
    <row r="37" spans="1:3" x14ac:dyDescent="0.25">
      <c r="A37" s="56" t="s">
        <v>49</v>
      </c>
      <c r="B37" s="54" t="s">
        <v>51</v>
      </c>
      <c r="C37" s="59"/>
    </row>
    <row r="38" spans="1:3" x14ac:dyDescent="0.25">
      <c r="A38" s="56" t="s">
        <v>50</v>
      </c>
      <c r="B38" s="54" t="s">
        <v>51</v>
      </c>
      <c r="C38" s="59"/>
    </row>
    <row r="39" spans="1:3" x14ac:dyDescent="0.25">
      <c r="A39" s="56" t="s">
        <v>74</v>
      </c>
      <c r="B39" s="54" t="s">
        <v>51</v>
      </c>
      <c r="C39" s="59"/>
    </row>
    <row r="40" spans="1:3" x14ac:dyDescent="0.25">
      <c r="A40" s="56" t="s">
        <v>70</v>
      </c>
      <c r="B40" s="54" t="s">
        <v>51</v>
      </c>
      <c r="C40" s="59"/>
    </row>
    <row r="41" spans="1:3" x14ac:dyDescent="0.25">
      <c r="A41" s="56" t="s">
        <v>101</v>
      </c>
      <c r="B41" s="54" t="s">
        <v>100</v>
      </c>
      <c r="C41" s="59">
        <f>15*30</f>
        <v>450</v>
      </c>
    </row>
    <row r="42" spans="1:3" x14ac:dyDescent="0.25">
      <c r="A42" s="56" t="s">
        <v>102</v>
      </c>
      <c r="B42" s="54" t="s">
        <v>100</v>
      </c>
      <c r="C42" s="59">
        <v>400</v>
      </c>
    </row>
    <row r="43" spans="1:3" x14ac:dyDescent="0.25">
      <c r="A43" s="56" t="s">
        <v>52</v>
      </c>
      <c r="B43" s="54" t="s">
        <v>2</v>
      </c>
      <c r="C43" s="59"/>
    </row>
    <row r="44" spans="1:3" x14ac:dyDescent="0.25">
      <c r="A44" s="56" t="s">
        <v>7</v>
      </c>
      <c r="B44" s="54" t="s">
        <v>2</v>
      </c>
      <c r="C44" s="59">
        <v>23</v>
      </c>
    </row>
    <row r="45" spans="1:3" x14ac:dyDescent="0.25">
      <c r="A45" s="56" t="s">
        <v>99</v>
      </c>
      <c r="B45" s="54" t="s">
        <v>2</v>
      </c>
      <c r="C45" s="59"/>
    </row>
    <row r="46" spans="1:3" x14ac:dyDescent="0.25">
      <c r="A46" s="56" t="s">
        <v>53</v>
      </c>
      <c r="B46" s="54" t="s">
        <v>2</v>
      </c>
      <c r="C46" s="59"/>
    </row>
    <row r="47" spans="1:3" x14ac:dyDescent="0.25">
      <c r="A47" s="56" t="s">
        <v>54</v>
      </c>
      <c r="B47" s="54" t="s">
        <v>2</v>
      </c>
      <c r="C47" s="59"/>
    </row>
    <row r="48" spans="1:3" x14ac:dyDescent="0.25">
      <c r="A48" s="56" t="s">
        <v>71</v>
      </c>
      <c r="B48" s="54" t="s">
        <v>2</v>
      </c>
      <c r="C48" s="59"/>
    </row>
    <row r="49" spans="1:3" x14ac:dyDescent="0.25">
      <c r="A49" s="56" t="s">
        <v>72</v>
      </c>
      <c r="B49" s="54" t="s">
        <v>57</v>
      </c>
      <c r="C49" s="59"/>
    </row>
    <row r="50" spans="1:3" x14ac:dyDescent="0.25">
      <c r="A50" s="56" t="s">
        <v>55</v>
      </c>
      <c r="B50" s="54" t="s">
        <v>57</v>
      </c>
      <c r="C50" s="59"/>
    </row>
    <row r="51" spans="1:3" x14ac:dyDescent="0.25">
      <c r="A51" s="56" t="s">
        <v>56</v>
      </c>
      <c r="B51" s="54" t="s">
        <v>57</v>
      </c>
      <c r="C51" s="59"/>
    </row>
    <row r="52" spans="1:3" x14ac:dyDescent="0.25">
      <c r="A52" s="56" t="s">
        <v>98</v>
      </c>
      <c r="B52" s="54" t="s">
        <v>97</v>
      </c>
      <c r="C52" s="59">
        <v>0</v>
      </c>
    </row>
    <row r="53" spans="1:3" x14ac:dyDescent="0.25">
      <c r="A53" s="56" t="s">
        <v>58</v>
      </c>
      <c r="B53" s="54" t="s">
        <v>97</v>
      </c>
      <c r="C53" s="59"/>
    </row>
    <row r="54" spans="1:3" x14ac:dyDescent="0.25">
      <c r="A54" s="56" t="s">
        <v>59</v>
      </c>
      <c r="B54" s="54" t="s">
        <v>97</v>
      </c>
      <c r="C54" s="59"/>
    </row>
    <row r="55" spans="1:3" x14ac:dyDescent="0.25">
      <c r="A55" s="56" t="s">
        <v>60</v>
      </c>
      <c r="B55" s="54" t="s">
        <v>97</v>
      </c>
      <c r="C55" s="59"/>
    </row>
    <row r="56" spans="1:3" x14ac:dyDescent="0.25">
      <c r="A56" s="56" t="s">
        <v>61</v>
      </c>
      <c r="B56" s="54" t="s">
        <v>97</v>
      </c>
      <c r="C56" s="59"/>
    </row>
    <row r="57" spans="1:3" x14ac:dyDescent="0.25">
      <c r="A57" s="56" t="s">
        <v>73</v>
      </c>
      <c r="B57" s="54" t="s">
        <v>97</v>
      </c>
      <c r="C57" s="59"/>
    </row>
    <row r="58" spans="1:3" x14ac:dyDescent="0.25">
      <c r="A58" s="56" t="s">
        <v>11</v>
      </c>
      <c r="C58" s="69">
        <f>SUBTOTAL(109,Planodecontas[Vlr Referência Meta/Mês])</f>
        <v>12689</v>
      </c>
    </row>
    <row r="59" spans="1:3" x14ac:dyDescent="0.25">
      <c r="C59" s="59"/>
    </row>
  </sheetData>
  <sheetProtection formatCells="0" formatColumns="0" formatRows="0" insertColumns="0" insertRows="0" insertHyperlinks="0" deleteColumns="0" deleteRows="0" sort="0" autoFilter="0" pivotTables="0"/>
  <pageMargins left="0.511811024" right="0.511811024" top="0.78740157499999996" bottom="0.78740157499999996" header="0.31496062000000002" footer="0.31496062000000002"/>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topLeftCell="C1" workbookViewId="0">
      <selection activeCell="C2" sqref="C2"/>
    </sheetView>
  </sheetViews>
  <sheetFormatPr defaultRowHeight="15" x14ac:dyDescent="0.25"/>
  <cols>
    <col min="1" max="1" width="26.140625" style="58" hidden="1" customWidth="1"/>
    <col min="2" max="2" width="11.28515625" style="58" hidden="1" customWidth="1"/>
    <col min="3" max="3" width="27.140625" style="58" bestFit="1" customWidth="1"/>
    <col min="4" max="4" width="11.28515625" style="59" customWidth="1"/>
    <col min="5" max="5" width="12.28515625" style="58" bestFit="1" customWidth="1"/>
    <col min="6" max="6" width="9.140625" style="58" bestFit="1" customWidth="1"/>
    <col min="7" max="7" width="14.140625" style="78" bestFit="1" customWidth="1"/>
    <col min="8" max="8" width="14.42578125" style="58" bestFit="1" customWidth="1"/>
    <col min="9" max="9" width="21.7109375" style="58" bestFit="1" customWidth="1"/>
    <col min="10" max="10" width="15.85546875" style="58" customWidth="1"/>
    <col min="11" max="12" width="9.140625" style="58"/>
    <col min="13" max="14" width="12.42578125" style="58" customWidth="1"/>
    <col min="15" max="16384" width="9.140625" style="58"/>
  </cols>
  <sheetData>
    <row r="1" spans="1:14" x14ac:dyDescent="0.25">
      <c r="A1" s="58" t="s">
        <v>20</v>
      </c>
      <c r="B1" s="58" t="s">
        <v>4</v>
      </c>
      <c r="C1" s="58" t="s">
        <v>94</v>
      </c>
      <c r="D1" s="59" t="s">
        <v>3</v>
      </c>
      <c r="E1" s="58" t="s">
        <v>22</v>
      </c>
      <c r="F1" s="58" t="s">
        <v>80</v>
      </c>
      <c r="G1" s="78" t="s">
        <v>79</v>
      </c>
      <c r="H1" s="58" t="s">
        <v>90</v>
      </c>
      <c r="I1" s="58" t="s">
        <v>5</v>
      </c>
      <c r="M1" s="58" t="s">
        <v>80</v>
      </c>
      <c r="N1" s="58" t="s">
        <v>93</v>
      </c>
    </row>
    <row r="2" spans="1:14" x14ac:dyDescent="0.25">
      <c r="A2" s="60" t="str">
        <f>CONCATENATE(Lancamento[[#This Row],[Mês/Ano]],Lancamento[[#This Row],[Tipo despesa/receita]])</f>
        <v>1/2017Salários</v>
      </c>
      <c r="B2" s="60" t="str">
        <f t="shared" ref="B2:B33" si="0">CONCATENATE(MONTH(E2),"/",YEAR(E2))</f>
        <v>1/2017</v>
      </c>
      <c r="C2" s="58" t="s">
        <v>25</v>
      </c>
      <c r="D2" s="59">
        <v>8000</v>
      </c>
      <c r="E2" s="61">
        <v>42740</v>
      </c>
      <c r="F2" s="61" t="s">
        <v>89</v>
      </c>
      <c r="G2" s="79">
        <f>VLOOKUP(Lancamento[[#This Row],[Tipo despesa/receita]],Planodecontas[],4,FALSE)</f>
        <v>42648</v>
      </c>
      <c r="H2" s="70" t="str">
        <f>VLOOKUP(Lancamento[[#This Row],[Ccusto]],Tabela3[],2,FALSE)</f>
        <v>Particular</v>
      </c>
      <c r="I2" s="71" t="str">
        <f>VLOOKUP(Lancamento[[#This Row],[Tipo despesa/receita]],Planodecontas[],2,FALSE)</f>
        <v>Receitas</v>
      </c>
      <c r="M2" s="58" t="s">
        <v>89</v>
      </c>
      <c r="N2" s="58" t="s">
        <v>83</v>
      </c>
    </row>
    <row r="3" spans="1:14" x14ac:dyDescent="0.25">
      <c r="A3" s="60" t="str">
        <f>CONCATENATE(Lancamento[[#This Row],[Mês/Ano]],Lancamento[[#This Row],[Tipo despesa/receita]])</f>
        <v>1/2017Recebimentos de Aluguel</v>
      </c>
      <c r="B3" s="60" t="str">
        <f t="shared" si="0"/>
        <v>1/2017</v>
      </c>
      <c r="C3" s="58" t="s">
        <v>26</v>
      </c>
      <c r="D3" s="59">
        <v>0</v>
      </c>
      <c r="E3" s="61">
        <v>42740</v>
      </c>
      <c r="F3" s="61" t="s">
        <v>89</v>
      </c>
      <c r="G3" s="79">
        <f>VLOOKUP(Lancamento[[#This Row],[Tipo despesa/receita]],Planodecontas[],4,FALSE)</f>
        <v>42653</v>
      </c>
      <c r="H3" s="70" t="str">
        <f>VLOOKUP(Lancamento[[#This Row],[Ccusto]],Tabela3[],2,FALSE)</f>
        <v>Particular</v>
      </c>
      <c r="I3" s="71" t="str">
        <f>VLOOKUP(Lancamento[[#This Row],[Tipo despesa/receita]],Planodecontas[],2,FALSE)</f>
        <v>Receitas</v>
      </c>
      <c r="M3" s="58" t="s">
        <v>91</v>
      </c>
      <c r="N3" s="58" t="s">
        <v>92</v>
      </c>
    </row>
    <row r="4" spans="1:14" x14ac:dyDescent="0.25">
      <c r="A4" s="60" t="str">
        <f>CONCATENATE(Lancamento[[#This Row],[Mês/Ano]],Lancamento[[#This Row],[Tipo despesa/receita]])</f>
        <v>1/2017Aposentadoria</v>
      </c>
      <c r="B4" s="60" t="str">
        <f t="shared" si="0"/>
        <v>1/2017</v>
      </c>
      <c r="C4" s="58" t="s">
        <v>76</v>
      </c>
      <c r="D4" s="59">
        <v>0</v>
      </c>
      <c r="E4" s="61">
        <v>42740</v>
      </c>
      <c r="F4" s="61" t="s">
        <v>89</v>
      </c>
      <c r="G4" s="79">
        <f>VLOOKUP(Lancamento[[#This Row],[Tipo despesa/receita]],Planodecontas[],4,FALSE)</f>
        <v>0</v>
      </c>
      <c r="H4" s="70" t="str">
        <f>VLOOKUP(Lancamento[[#This Row],[Ccusto]],Tabela3[],2,FALSE)</f>
        <v>Particular</v>
      </c>
      <c r="I4" s="71" t="str">
        <f>VLOOKUP(Lancamento[[#This Row],[Tipo despesa/receita]],Planodecontas[],2,FALSE)</f>
        <v>Receitas</v>
      </c>
    </row>
    <row r="5" spans="1:14" x14ac:dyDescent="0.25">
      <c r="A5" s="60" t="str">
        <f>CONCATENATE(Lancamento[[#This Row],[Mês/Ano]],Lancamento[[#This Row],[Tipo despesa/receita]])</f>
        <v>1/2017Outros rendimentos</v>
      </c>
      <c r="B5" s="60" t="str">
        <f t="shared" si="0"/>
        <v>1/2017</v>
      </c>
      <c r="C5" s="58" t="s">
        <v>77</v>
      </c>
      <c r="D5" s="59">
        <v>0</v>
      </c>
      <c r="E5" s="61">
        <v>42745</v>
      </c>
      <c r="F5" s="61" t="s">
        <v>89</v>
      </c>
      <c r="G5" s="79">
        <f>VLOOKUP(Lancamento[[#This Row],[Tipo despesa/receita]],Planodecontas[],4,FALSE)</f>
        <v>42649</v>
      </c>
      <c r="H5" s="70" t="str">
        <f>VLOOKUP(Lancamento[[#This Row],[Ccusto]],Tabela3[],2,FALSE)</f>
        <v>Particular</v>
      </c>
      <c r="I5" s="71" t="str">
        <f>VLOOKUP(Lancamento[[#This Row],[Tipo despesa/receita]],Planodecontas[],2,FALSE)</f>
        <v>Receitas</v>
      </c>
    </row>
    <row r="6" spans="1:14" x14ac:dyDescent="0.25">
      <c r="A6" s="60" t="str">
        <f>CONCATENATE(Lancamento[[#This Row],[Mês/Ano]],Lancamento[[#This Row],[Tipo despesa/receita]])</f>
        <v>1/2017Aluguel/Prestação de imóvel</v>
      </c>
      <c r="B6" s="60" t="str">
        <f t="shared" si="0"/>
        <v>1/2017</v>
      </c>
      <c r="C6" s="58" t="s">
        <v>63</v>
      </c>
      <c r="D6" s="59">
        <v>4294.51</v>
      </c>
      <c r="E6" s="61">
        <v>42745</v>
      </c>
      <c r="F6" s="61" t="s">
        <v>89</v>
      </c>
      <c r="G6" s="79">
        <f>VLOOKUP(Lancamento[[#This Row],[Tipo despesa/receita]],Planodecontas[],4,FALSE)</f>
        <v>42658</v>
      </c>
      <c r="H6" s="70" t="str">
        <f>VLOOKUP(Lancamento[[#This Row],[Ccusto]],Tabela3[],2,FALSE)</f>
        <v>Particular</v>
      </c>
      <c r="I6" s="71" t="str">
        <f>VLOOKUP(Lancamento[[#This Row],[Tipo despesa/receita]],Planodecontas[],2,FALSE)</f>
        <v>Moradia</v>
      </c>
    </row>
    <row r="7" spans="1:14" x14ac:dyDescent="0.25">
      <c r="A7" s="60" t="str">
        <f>CONCATENATE(Lancamento[[#This Row],[Mês/Ano]],Lancamento[[#This Row],[Tipo despesa/receita]])</f>
        <v>1/2017Condomínio</v>
      </c>
      <c r="B7" s="60" t="str">
        <f t="shared" si="0"/>
        <v>1/2017</v>
      </c>
      <c r="C7" s="58" t="s">
        <v>1</v>
      </c>
      <c r="D7" s="59">
        <v>690</v>
      </c>
      <c r="E7" s="61">
        <v>42745</v>
      </c>
      <c r="F7" s="61" t="s">
        <v>89</v>
      </c>
      <c r="G7" s="79">
        <f>VLOOKUP(Lancamento[[#This Row],[Tipo despesa/receita]],Planodecontas[],4,FALSE)</f>
        <v>42653</v>
      </c>
      <c r="H7" s="70" t="str">
        <f>VLOOKUP(Lancamento[[#This Row],[Ccusto]],Tabela3[],2,FALSE)</f>
        <v>Particular</v>
      </c>
      <c r="I7" s="71" t="str">
        <f>VLOOKUP(Lancamento[[#This Row],[Tipo despesa/receita]],Planodecontas[],2,FALSE)</f>
        <v>Moradia</v>
      </c>
    </row>
    <row r="8" spans="1:14" x14ac:dyDescent="0.25">
      <c r="A8" s="60" t="str">
        <f>CONCATENATE(Lancamento[[#This Row],[Mês/Ano]],Lancamento[[#This Row],[Tipo despesa/receita]])</f>
        <v>1/2017Seguro do imóvel</v>
      </c>
      <c r="B8" s="60" t="str">
        <f t="shared" si="0"/>
        <v>1/2017</v>
      </c>
      <c r="C8" s="58" t="s">
        <v>27</v>
      </c>
      <c r="D8" s="59">
        <v>0</v>
      </c>
      <c r="E8" s="61">
        <v>42745</v>
      </c>
      <c r="F8" s="61" t="s">
        <v>89</v>
      </c>
      <c r="G8" s="79">
        <f>VLOOKUP(Lancamento[[#This Row],[Tipo despesa/receita]],Planodecontas[],4,FALSE)</f>
        <v>42653</v>
      </c>
      <c r="H8" s="70" t="str">
        <f>VLOOKUP(Lancamento[[#This Row],[Ccusto]],Tabela3[],2,FALSE)</f>
        <v>Particular</v>
      </c>
      <c r="I8" s="71" t="str">
        <f>VLOOKUP(Lancamento[[#This Row],[Tipo despesa/receita]],Planodecontas[],2,FALSE)</f>
        <v>Moradia</v>
      </c>
    </row>
    <row r="9" spans="1:14" x14ac:dyDescent="0.25">
      <c r="A9" s="60" t="str">
        <f>CONCATENATE(Lancamento[[#This Row],[Mês/Ano]],Lancamento[[#This Row],[Tipo despesa/receita]])</f>
        <v>1/2017Gás</v>
      </c>
      <c r="B9" s="60" t="str">
        <f t="shared" si="0"/>
        <v>1/2017</v>
      </c>
      <c r="C9" s="58" t="s">
        <v>28</v>
      </c>
      <c r="D9" s="59">
        <v>98</v>
      </c>
      <c r="E9" s="61">
        <v>42745</v>
      </c>
      <c r="F9" s="61" t="s">
        <v>89</v>
      </c>
      <c r="G9" s="79">
        <f>VLOOKUP(Lancamento[[#This Row],[Tipo despesa/receita]],Planodecontas[],4,FALSE)</f>
        <v>42651</v>
      </c>
      <c r="H9" s="70" t="str">
        <f>VLOOKUP(Lancamento[[#This Row],[Ccusto]],Tabela3[],2,FALSE)</f>
        <v>Particular</v>
      </c>
      <c r="I9" s="71" t="str">
        <f>VLOOKUP(Lancamento[[#This Row],[Tipo despesa/receita]],Planodecontas[],2,FALSE)</f>
        <v>Moradia</v>
      </c>
    </row>
    <row r="10" spans="1:14" x14ac:dyDescent="0.25">
      <c r="A10" s="60" t="str">
        <f>CONCATENATE(Lancamento[[#This Row],[Mês/Ano]],Lancamento[[#This Row],[Tipo despesa/receita]])</f>
        <v>1/2017Luz</v>
      </c>
      <c r="B10" s="60" t="str">
        <f t="shared" si="0"/>
        <v>1/2017</v>
      </c>
      <c r="C10" s="58" t="s">
        <v>29</v>
      </c>
      <c r="D10" s="59">
        <v>100</v>
      </c>
      <c r="E10" s="61">
        <v>42741</v>
      </c>
      <c r="F10" s="61" t="s">
        <v>89</v>
      </c>
      <c r="G10" s="79">
        <f>VLOOKUP(Lancamento[[#This Row],[Tipo despesa/receita]],Planodecontas[],4,FALSE)</f>
        <v>42651</v>
      </c>
      <c r="H10" s="70" t="str">
        <f>VLOOKUP(Lancamento[[#This Row],[Ccusto]],Tabela3[],2,FALSE)</f>
        <v>Particular</v>
      </c>
      <c r="I10" s="71" t="str">
        <f>VLOOKUP(Lancamento[[#This Row],[Tipo despesa/receita]],Planodecontas[],2,FALSE)</f>
        <v>Moradia</v>
      </c>
    </row>
    <row r="11" spans="1:14" x14ac:dyDescent="0.25">
      <c r="A11" s="60" t="str">
        <f>CONCATENATE(Lancamento[[#This Row],[Mês/Ano]],Lancamento[[#This Row],[Tipo despesa/receita]])</f>
        <v>1/2017Telefones</v>
      </c>
      <c r="B11" s="60" t="str">
        <f t="shared" si="0"/>
        <v>1/2017</v>
      </c>
      <c r="C11" s="58" t="s">
        <v>30</v>
      </c>
      <c r="D11" s="59">
        <v>98</v>
      </c>
      <c r="E11" s="61">
        <v>42741</v>
      </c>
      <c r="F11" s="61" t="s">
        <v>91</v>
      </c>
      <c r="G11" s="79">
        <f>VLOOKUP(Lancamento[[#This Row],[Tipo despesa/receita]],Planodecontas[],4,FALSE)</f>
        <v>0</v>
      </c>
      <c r="H11" s="70" t="str">
        <f>VLOOKUP(Lancamento[[#This Row],[Ccusto]],Tabela3[],2,FALSE)</f>
        <v>Empresa</v>
      </c>
      <c r="I11" s="71" t="str">
        <f>VLOOKUP(Lancamento[[#This Row],[Tipo despesa/receita]],Planodecontas[],2,FALSE)</f>
        <v>Moradia</v>
      </c>
    </row>
    <row r="12" spans="1:14" x14ac:dyDescent="0.25">
      <c r="A12" s="60" t="str">
        <f>CONCATENATE(Lancamento[[#This Row],[Mês/Ano]],Lancamento[[#This Row],[Tipo despesa/receita]])</f>
        <v>1/2017Empregada - Diarista</v>
      </c>
      <c r="B12" s="60" t="str">
        <f t="shared" si="0"/>
        <v>1/2017</v>
      </c>
      <c r="C12" s="58" t="s">
        <v>62</v>
      </c>
      <c r="D12" s="59">
        <v>550</v>
      </c>
      <c r="E12" s="61">
        <v>42740</v>
      </c>
      <c r="F12" s="61" t="s">
        <v>89</v>
      </c>
      <c r="G12" s="79">
        <f>VLOOKUP(Lancamento[[#This Row],[Tipo despesa/receita]],Planodecontas[],4,FALSE)</f>
        <v>42648</v>
      </c>
      <c r="H12" s="70" t="str">
        <f>VLOOKUP(Lancamento[[#This Row],[Ccusto]],Tabela3[],2,FALSE)</f>
        <v>Particular</v>
      </c>
      <c r="I12" s="71" t="str">
        <f>VLOOKUP(Lancamento[[#This Row],[Tipo despesa/receita]],Planodecontas[],2,FALSE)</f>
        <v>Moradia</v>
      </c>
    </row>
    <row r="13" spans="1:14" x14ac:dyDescent="0.25">
      <c r="A13" s="60" t="str">
        <f>CONCATENATE(Lancamento[[#This Row],[Mês/Ano]],Lancamento[[#This Row],[Tipo despesa/receita]])</f>
        <v>1/2017TV por Assinatura</v>
      </c>
      <c r="B13" s="60" t="str">
        <f t="shared" si="0"/>
        <v>1/2017</v>
      </c>
      <c r="C13" s="63" t="s">
        <v>31</v>
      </c>
      <c r="D13" s="64">
        <v>290</v>
      </c>
      <c r="E13" s="65">
        <v>42760</v>
      </c>
      <c r="F13" s="61" t="s">
        <v>89</v>
      </c>
      <c r="G13" s="79">
        <f>VLOOKUP(Lancamento[[#This Row],[Tipo despesa/receita]],Planodecontas[],4,FALSE)</f>
        <v>42653</v>
      </c>
      <c r="H13" s="70" t="str">
        <f>VLOOKUP(Lancamento[[#This Row],[Ccusto]],Tabela3[],2,FALSE)</f>
        <v>Particular</v>
      </c>
      <c r="I13" s="71" t="str">
        <f>VLOOKUP(Lancamento[[#This Row],[Tipo despesa/receita]],Planodecontas[],2,FALSE)</f>
        <v>Moradia</v>
      </c>
    </row>
    <row r="14" spans="1:14" x14ac:dyDescent="0.25">
      <c r="A14" s="60" t="str">
        <f>CONCATENATE(Lancamento[[#This Row],[Mês/Ano]],Lancamento[[#This Row],[Tipo despesa/receita]])</f>
        <v>12/2017IPTU / Outros Impostos</v>
      </c>
      <c r="B14" s="60" t="str">
        <f t="shared" si="0"/>
        <v>12/2017</v>
      </c>
      <c r="C14" s="63" t="s">
        <v>64</v>
      </c>
      <c r="D14" s="66">
        <v>270.66000000000003</v>
      </c>
      <c r="E14" s="65">
        <v>43070</v>
      </c>
      <c r="F14" s="61" t="s">
        <v>91</v>
      </c>
      <c r="G14" s="79">
        <f>VLOOKUP(Lancamento[[#This Row],[Tipo despesa/receita]],Planodecontas[],4,FALSE)</f>
        <v>42648</v>
      </c>
      <c r="H14" s="70" t="str">
        <f>VLOOKUP(Lancamento[[#This Row],[Ccusto]],Tabela3[],2,FALSE)</f>
        <v>Empresa</v>
      </c>
      <c r="I14" s="71" t="str">
        <f>VLOOKUP(Lancamento[[#This Row],[Tipo despesa/receita]],Planodecontas[],2,FALSE)</f>
        <v>Moradia</v>
      </c>
    </row>
    <row r="15" spans="1:14" x14ac:dyDescent="0.25">
      <c r="A15" s="60" t="str">
        <f>CONCATENATE(Lancamento[[#This Row],[Mês/Ano]],Lancamento[[#This Row],[Tipo despesa/receita]])</f>
        <v>12/2017Reformas/Consertos</v>
      </c>
      <c r="B15" s="60" t="str">
        <f t="shared" si="0"/>
        <v>12/2017</v>
      </c>
      <c r="C15" s="63" t="s">
        <v>32</v>
      </c>
      <c r="D15" s="66">
        <v>262.94</v>
      </c>
      <c r="E15" s="65">
        <v>43081</v>
      </c>
      <c r="F15" s="61" t="s">
        <v>91</v>
      </c>
      <c r="G15" s="79">
        <f>VLOOKUP(Lancamento[[#This Row],[Tipo despesa/receita]],Planodecontas[],4,FALSE)</f>
        <v>0</v>
      </c>
      <c r="H15" s="70" t="str">
        <f>VLOOKUP(Lancamento[[#This Row],[Ccusto]],Tabela3[],2,FALSE)</f>
        <v>Empresa</v>
      </c>
      <c r="I15" s="71" t="str">
        <f>VLOOKUP(Lancamento[[#This Row],[Tipo despesa/receita]],Planodecontas[],2,FALSE)</f>
        <v>Moradia</v>
      </c>
    </row>
    <row r="16" spans="1:14" x14ac:dyDescent="0.25">
      <c r="A16" s="60" t="str">
        <f>CONCATENATE(Lancamento[[#This Row],[Mês/Ano]],Lancamento[[#This Row],[Tipo despesa/receita]])</f>
        <v>12/2017Outros gastos moradia</v>
      </c>
      <c r="B16" s="60" t="str">
        <f t="shared" si="0"/>
        <v>12/2017</v>
      </c>
      <c r="C16" s="63" t="s">
        <v>65</v>
      </c>
      <c r="D16" s="66">
        <v>116.4</v>
      </c>
      <c r="E16" s="65">
        <v>43085</v>
      </c>
      <c r="F16" s="61" t="s">
        <v>89</v>
      </c>
      <c r="G16" s="79">
        <f>VLOOKUP(Lancamento[[#This Row],[Tipo despesa/receita]],Planodecontas[],4,FALSE)</f>
        <v>0</v>
      </c>
      <c r="H16" s="70" t="str">
        <f>VLOOKUP(Lancamento[[#This Row],[Ccusto]],Tabela3[],2,FALSE)</f>
        <v>Particular</v>
      </c>
      <c r="I16" s="71" t="str">
        <f>VLOOKUP(Lancamento[[#This Row],[Tipo despesa/receita]],Planodecontas[],2,FALSE)</f>
        <v>Moradia</v>
      </c>
    </row>
    <row r="17" spans="1:9" x14ac:dyDescent="0.25">
      <c r="A17" s="60" t="str">
        <f>CONCATENATE(Lancamento[[#This Row],[Mês/Ano]],Lancamento[[#This Row],[Tipo despesa/receita]])</f>
        <v>12/2017Plano de Saúde</v>
      </c>
      <c r="B17" s="60" t="str">
        <f t="shared" si="0"/>
        <v>12/2017</v>
      </c>
      <c r="C17" s="63" t="s">
        <v>34</v>
      </c>
      <c r="D17" s="66">
        <v>26.29</v>
      </c>
      <c r="E17" s="65">
        <v>43086</v>
      </c>
      <c r="F17" s="61" t="s">
        <v>89</v>
      </c>
      <c r="G17" s="79">
        <f>VLOOKUP(Lancamento[[#This Row],[Tipo despesa/receita]],Planodecontas[],4,FALSE)</f>
        <v>42668</v>
      </c>
      <c r="H17" s="70" t="str">
        <f>VLOOKUP(Lancamento[[#This Row],[Ccusto]],Tabela3[],2,FALSE)</f>
        <v>Particular</v>
      </c>
      <c r="I17" s="71" t="str">
        <f>VLOOKUP(Lancamento[[#This Row],[Tipo despesa/receita]],Planodecontas[],2,FALSE)</f>
        <v>Saúde</v>
      </c>
    </row>
    <row r="18" spans="1:9" x14ac:dyDescent="0.25">
      <c r="A18" s="60" t="str">
        <f>CONCATENATE(Lancamento[[#This Row],[Mês/Ano]],Lancamento[[#This Row],[Tipo despesa/receita]])</f>
        <v>12/2017Médico / Psicólogos</v>
      </c>
      <c r="B18" s="60" t="str">
        <f t="shared" si="0"/>
        <v>12/2017</v>
      </c>
      <c r="C18" s="63" t="s">
        <v>66</v>
      </c>
      <c r="D18" s="66">
        <v>27.75</v>
      </c>
      <c r="E18" s="65">
        <v>43087</v>
      </c>
      <c r="F18" s="61" t="s">
        <v>89</v>
      </c>
      <c r="G18" s="79">
        <f>VLOOKUP(Lancamento[[#This Row],[Tipo despesa/receita]],Planodecontas[],4,FALSE)</f>
        <v>0</v>
      </c>
      <c r="H18" s="70" t="str">
        <f>VLOOKUP(Lancamento[[#This Row],[Ccusto]],Tabela3[],2,FALSE)</f>
        <v>Particular</v>
      </c>
      <c r="I18" s="71" t="str">
        <f>VLOOKUP(Lancamento[[#This Row],[Tipo despesa/receita]],Planodecontas[],2,FALSE)</f>
        <v>Saúde</v>
      </c>
    </row>
    <row r="19" spans="1:9" x14ac:dyDescent="0.25">
      <c r="A19" s="60" t="str">
        <f>CONCATENATE(Lancamento[[#This Row],[Mês/Ano]],Lancamento[[#This Row],[Tipo despesa/receita]])</f>
        <v>12/2017Dentista</v>
      </c>
      <c r="B19" s="60" t="str">
        <f t="shared" si="0"/>
        <v>12/2017</v>
      </c>
      <c r="C19" s="63" t="s">
        <v>35</v>
      </c>
      <c r="D19" s="66">
        <v>142.75</v>
      </c>
      <c r="E19" s="65">
        <v>43087</v>
      </c>
      <c r="F19" s="61" t="s">
        <v>89</v>
      </c>
      <c r="G19" s="79">
        <f>VLOOKUP(Lancamento[[#This Row],[Tipo despesa/receita]],Planodecontas[],4,FALSE)</f>
        <v>0</v>
      </c>
      <c r="H19" s="70" t="str">
        <f>VLOOKUP(Lancamento[[#This Row],[Ccusto]],Tabela3[],2,FALSE)</f>
        <v>Particular</v>
      </c>
      <c r="I19" s="71" t="str">
        <f>VLOOKUP(Lancamento[[#This Row],[Tipo despesa/receita]],Planodecontas[],2,FALSE)</f>
        <v>Saúde</v>
      </c>
    </row>
    <row r="20" spans="1:9" x14ac:dyDescent="0.25">
      <c r="A20" s="67" t="str">
        <f>CONCATENATE(Lancamento[[#This Row],[Mês/Ano]],Lancamento[[#This Row],[Tipo despesa/receita]])</f>
        <v>12/2017Medicamentos</v>
      </c>
      <c r="B20" s="60" t="str">
        <f t="shared" si="0"/>
        <v>12/2017</v>
      </c>
      <c r="C20" s="63" t="s">
        <v>36</v>
      </c>
      <c r="D20" s="66">
        <v>90.75</v>
      </c>
      <c r="E20" s="65">
        <v>43088</v>
      </c>
      <c r="F20" s="61" t="s">
        <v>89</v>
      </c>
      <c r="G20" s="79">
        <f>VLOOKUP(Lancamento[[#This Row],[Tipo despesa/receita]],Planodecontas[],4,FALSE)</f>
        <v>0</v>
      </c>
      <c r="H20" s="70" t="str">
        <f>VLOOKUP(Lancamento[[#This Row],[Ccusto]],Tabela3[],2,FALSE)</f>
        <v>Particular</v>
      </c>
      <c r="I20" s="71" t="str">
        <f>VLOOKUP(Lancamento[[#This Row],[Tipo despesa/receita]],Planodecontas[],2,FALSE)</f>
        <v>Saúde</v>
      </c>
    </row>
    <row r="21" spans="1:9" x14ac:dyDescent="0.25">
      <c r="A21" s="67" t="str">
        <f>CONCATENATE(Lancamento[[#This Row],[Mês/Ano]],Lancamento[[#This Row],[Tipo despesa/receita]])</f>
        <v>12/2017Outros gastos saúde</v>
      </c>
      <c r="B21" s="60" t="str">
        <f t="shared" si="0"/>
        <v>12/2017</v>
      </c>
      <c r="C21" s="63" t="s">
        <v>67</v>
      </c>
      <c r="D21" s="66">
        <v>99.9</v>
      </c>
      <c r="E21" s="65">
        <v>43088</v>
      </c>
      <c r="F21" s="61" t="s">
        <v>89</v>
      </c>
      <c r="G21" s="79">
        <f>VLOOKUP(Lancamento[[#This Row],[Tipo despesa/receita]],Planodecontas[],4,FALSE)</f>
        <v>0</v>
      </c>
      <c r="H21" s="70" t="str">
        <f>VLOOKUP(Lancamento[[#This Row],[Ccusto]],Tabela3[],2,FALSE)</f>
        <v>Particular</v>
      </c>
      <c r="I21" s="71" t="str">
        <f>VLOOKUP(Lancamento[[#This Row],[Tipo despesa/receita]],Planodecontas[],2,FALSE)</f>
        <v>Saúde</v>
      </c>
    </row>
    <row r="22" spans="1:9" x14ac:dyDescent="0.25">
      <c r="A22" s="67" t="str">
        <f>CONCATENATE(Lancamento[[#This Row],[Mês/Ano]],Lancamento[[#This Row],[Tipo despesa/receita]])</f>
        <v>12/2017Ônibus/Metrô/Trem</v>
      </c>
      <c r="B22" s="60" t="str">
        <f t="shared" si="0"/>
        <v>12/2017</v>
      </c>
      <c r="C22" s="63" t="s">
        <v>37</v>
      </c>
      <c r="D22" s="66">
        <v>278</v>
      </c>
      <c r="E22" s="65">
        <v>43088</v>
      </c>
      <c r="F22" s="61" t="s">
        <v>89</v>
      </c>
      <c r="G22" s="79">
        <f>VLOOKUP(Lancamento[[#This Row],[Tipo despesa/receita]],Planodecontas[],4,FALSE)</f>
        <v>0</v>
      </c>
      <c r="H22" s="70" t="str">
        <f>VLOOKUP(Lancamento[[#This Row],[Ccusto]],Tabela3[],2,FALSE)</f>
        <v>Particular</v>
      </c>
      <c r="I22" s="71" t="str">
        <f>VLOOKUP(Lancamento[[#This Row],[Tipo despesa/receita]],Planodecontas[],2,FALSE)</f>
        <v>Transporte</v>
      </c>
    </row>
    <row r="23" spans="1:9" x14ac:dyDescent="0.25">
      <c r="A23" s="67" t="str">
        <f>CONCATENATE(Lancamento[[#This Row],[Mês/Ano]],Lancamento[[#This Row],[Tipo despesa/receita]])</f>
        <v>12/2017Táxi</v>
      </c>
      <c r="B23" s="60" t="str">
        <f t="shared" si="0"/>
        <v>12/2017</v>
      </c>
      <c r="C23" s="63" t="s">
        <v>38</v>
      </c>
      <c r="D23" s="66">
        <v>100.87</v>
      </c>
      <c r="E23" s="65">
        <v>43089</v>
      </c>
      <c r="F23" s="61" t="s">
        <v>89</v>
      </c>
      <c r="G23" s="79">
        <f>VLOOKUP(Lancamento[[#This Row],[Tipo despesa/receita]],Planodecontas[],4,FALSE)</f>
        <v>0</v>
      </c>
      <c r="H23" s="70" t="str">
        <f>VLOOKUP(Lancamento[[#This Row],[Ccusto]],Tabela3[],2,FALSE)</f>
        <v>Particular</v>
      </c>
      <c r="I23" s="71" t="str">
        <f>VLOOKUP(Lancamento[[#This Row],[Tipo despesa/receita]],Planodecontas[],2,FALSE)</f>
        <v>Transporte</v>
      </c>
    </row>
    <row r="24" spans="1:9" x14ac:dyDescent="0.25">
      <c r="A24" s="67" t="str">
        <f>CONCATENATE(Lancamento[[#This Row],[Mês/Ano]],Lancamento[[#This Row],[Tipo despesa/receita]])</f>
        <v>12/2017Prestação Automóvel</v>
      </c>
      <c r="B24" s="60" t="str">
        <f t="shared" si="0"/>
        <v>12/2017</v>
      </c>
      <c r="C24" s="63" t="s">
        <v>68</v>
      </c>
      <c r="D24" s="66">
        <v>54</v>
      </c>
      <c r="E24" s="65">
        <v>43089</v>
      </c>
      <c r="F24" s="61" t="s">
        <v>89</v>
      </c>
      <c r="G24" s="79">
        <f>VLOOKUP(Lancamento[[#This Row],[Tipo despesa/receita]],Planodecontas[],4,FALSE)</f>
        <v>0</v>
      </c>
      <c r="H24" s="70" t="str">
        <f>VLOOKUP(Lancamento[[#This Row],[Ccusto]],Tabela3[],2,FALSE)</f>
        <v>Particular</v>
      </c>
      <c r="I24" s="71" t="str">
        <f>VLOOKUP(Lancamento[[#This Row],[Tipo despesa/receita]],Planodecontas[],2,FALSE)</f>
        <v>Transporte</v>
      </c>
    </row>
    <row r="25" spans="1:9" x14ac:dyDescent="0.25">
      <c r="A25" s="67" t="str">
        <f>CONCATENATE(Lancamento[[#This Row],[Mês/Ano]],Lancamento[[#This Row],[Tipo despesa/receita]])</f>
        <v>12/2017Seguro do carro</v>
      </c>
      <c r="B25" s="60" t="str">
        <f t="shared" si="0"/>
        <v>12/2017</v>
      </c>
      <c r="C25" s="63" t="s">
        <v>39</v>
      </c>
      <c r="D25" s="66">
        <v>141.6</v>
      </c>
      <c r="E25" s="65">
        <v>43089</v>
      </c>
      <c r="F25" s="61" t="s">
        <v>89</v>
      </c>
      <c r="G25" s="79">
        <f>VLOOKUP(Lancamento[[#This Row],[Tipo despesa/receita]],Planodecontas[],4,FALSE)</f>
        <v>42651</v>
      </c>
      <c r="H25" s="70" t="str">
        <f>VLOOKUP(Lancamento[[#This Row],[Ccusto]],Tabela3[],2,FALSE)</f>
        <v>Particular</v>
      </c>
      <c r="I25" s="71" t="str">
        <f>VLOOKUP(Lancamento[[#This Row],[Tipo despesa/receita]],Planodecontas[],2,FALSE)</f>
        <v>Transporte</v>
      </c>
    </row>
    <row r="26" spans="1:9" x14ac:dyDescent="0.25">
      <c r="A26" s="67" t="str">
        <f>CONCATENATE(Lancamento[[#This Row],[Mês/Ano]],Lancamento[[#This Row],[Tipo despesa/receita]])</f>
        <v>12/2017IPVA</v>
      </c>
      <c r="B26" s="60" t="str">
        <f t="shared" si="0"/>
        <v>12/2017</v>
      </c>
      <c r="C26" s="63" t="s">
        <v>40</v>
      </c>
      <c r="D26" s="66">
        <v>245.9</v>
      </c>
      <c r="E26" s="65">
        <v>43089</v>
      </c>
      <c r="F26" s="61" t="s">
        <v>89</v>
      </c>
      <c r="G26" s="79">
        <f>VLOOKUP(Lancamento[[#This Row],[Tipo despesa/receita]],Planodecontas[],4,FALSE)</f>
        <v>0</v>
      </c>
      <c r="H26" s="70" t="str">
        <f>VLOOKUP(Lancamento[[#This Row],[Ccusto]],Tabela3[],2,FALSE)</f>
        <v>Particular</v>
      </c>
      <c r="I26" s="71" t="str">
        <f>VLOOKUP(Lancamento[[#This Row],[Tipo despesa/receita]],Planodecontas[],2,FALSE)</f>
        <v>Transporte</v>
      </c>
    </row>
    <row r="27" spans="1:9" x14ac:dyDescent="0.25">
      <c r="A27" s="67" t="str">
        <f>CONCATENATE(Lancamento[[#This Row],[Mês/Ano]],Lancamento[[#This Row],[Tipo despesa/receita]])</f>
        <v>12/2016Mecânico</v>
      </c>
      <c r="B27" s="60" t="str">
        <f t="shared" si="0"/>
        <v>12/2016</v>
      </c>
      <c r="C27" s="63" t="s">
        <v>41</v>
      </c>
      <c r="D27" s="66">
        <v>61.97</v>
      </c>
      <c r="E27" s="65">
        <v>42725</v>
      </c>
      <c r="F27" s="61" t="s">
        <v>89</v>
      </c>
      <c r="G27" s="79">
        <f>VLOOKUP(Lancamento[[#This Row],[Tipo despesa/receita]],Planodecontas[],4,FALSE)</f>
        <v>0</v>
      </c>
      <c r="H27" s="70" t="str">
        <f>VLOOKUP(Lancamento[[#This Row],[Ccusto]],Tabela3[],2,FALSE)</f>
        <v>Particular</v>
      </c>
      <c r="I27" s="71" t="str">
        <f>VLOOKUP(Lancamento[[#This Row],[Tipo despesa/receita]],Planodecontas[],2,FALSE)</f>
        <v>Transporte</v>
      </c>
    </row>
    <row r="28" spans="1:9" x14ac:dyDescent="0.25">
      <c r="A28" s="67" t="str">
        <f>CONCATENATE(Lancamento[[#This Row],[Mês/Ano]],Lancamento[[#This Row],[Tipo despesa/receita]])</f>
        <v>12/2017Multas</v>
      </c>
      <c r="B28" s="60" t="str">
        <f t="shared" si="0"/>
        <v>12/2017</v>
      </c>
      <c r="C28" s="63" t="s">
        <v>42</v>
      </c>
      <c r="D28" s="66">
        <v>2.62</v>
      </c>
      <c r="E28" s="65">
        <v>43091</v>
      </c>
      <c r="F28" s="61" t="s">
        <v>89</v>
      </c>
      <c r="G28" s="79">
        <f>VLOOKUP(Lancamento[[#This Row],[Tipo despesa/receita]],Planodecontas[],4,FALSE)</f>
        <v>0</v>
      </c>
      <c r="H28" s="70" t="str">
        <f>VLOOKUP(Lancamento[[#This Row],[Ccusto]],Tabela3[],2,FALSE)</f>
        <v>Particular</v>
      </c>
      <c r="I28" s="71" t="str">
        <f>VLOOKUP(Lancamento[[#This Row],[Tipo despesa/receita]],Planodecontas[],2,FALSE)</f>
        <v>Transporte</v>
      </c>
    </row>
    <row r="29" spans="1:9" x14ac:dyDescent="0.25">
      <c r="A29" s="67" t="str">
        <f>CONCATENATE(Lancamento[[#This Row],[Mês/Ano]],Lancamento[[#This Row],[Tipo despesa/receita]])</f>
        <v>12/2017Combústivel</v>
      </c>
      <c r="B29" s="60" t="str">
        <f t="shared" si="0"/>
        <v>12/2017</v>
      </c>
      <c r="C29" s="63" t="s">
        <v>103</v>
      </c>
      <c r="D29" s="66">
        <v>299.89999999999998</v>
      </c>
      <c r="E29" s="65">
        <v>43091</v>
      </c>
      <c r="F29" s="61" t="s">
        <v>89</v>
      </c>
      <c r="G29" s="79">
        <f>VLOOKUP(Lancamento[[#This Row],[Tipo despesa/receita]],Planodecontas[],4,FALSE)</f>
        <v>0</v>
      </c>
      <c r="H29" s="70" t="str">
        <f>VLOOKUP(Lancamento[[#This Row],[Ccusto]],Tabela3[],2,FALSE)</f>
        <v>Particular</v>
      </c>
      <c r="I29" s="71" t="str">
        <f>VLOOKUP(Lancamento[[#This Row],[Tipo despesa/receita]],Planodecontas[],2,FALSE)</f>
        <v>Transporte</v>
      </c>
    </row>
    <row r="30" spans="1:9" x14ac:dyDescent="0.25">
      <c r="A30" s="67" t="str">
        <f>CONCATENATE(Lancamento[[#This Row],[Mês/Ano]],Lancamento[[#This Row],[Tipo despesa/receita]])</f>
        <v>12/2017Outros gastos transporte</v>
      </c>
      <c r="B30" s="60" t="str">
        <f t="shared" si="0"/>
        <v>12/2017</v>
      </c>
      <c r="C30" s="63" t="s">
        <v>69</v>
      </c>
      <c r="D30" s="66">
        <v>77.7</v>
      </c>
      <c r="E30" s="65">
        <v>43091</v>
      </c>
      <c r="F30" s="61" t="s">
        <v>89</v>
      </c>
      <c r="G30" s="79">
        <f>VLOOKUP(Lancamento[[#This Row],[Tipo despesa/receita]],Planodecontas[],4,FALSE)</f>
        <v>0</v>
      </c>
      <c r="H30" s="70" t="str">
        <f>VLOOKUP(Lancamento[[#This Row],[Ccusto]],Tabela3[],2,FALSE)</f>
        <v>Particular</v>
      </c>
      <c r="I30" s="71" t="str">
        <f>VLOOKUP(Lancamento[[#This Row],[Tipo despesa/receita]],Planodecontas[],2,FALSE)</f>
        <v>Transporte</v>
      </c>
    </row>
    <row r="31" spans="1:9" x14ac:dyDescent="0.25">
      <c r="A31" s="67" t="str">
        <f>CONCATENATE(Lancamento[[#This Row],[Mês/Ano]],Lancamento[[#This Row],[Tipo despesa/receita]])</f>
        <v>12/2017Higiene Pessoal</v>
      </c>
      <c r="B31" s="60" t="str">
        <f t="shared" si="0"/>
        <v>12/2017</v>
      </c>
      <c r="C31" s="63" t="s">
        <v>44</v>
      </c>
      <c r="D31" s="66">
        <v>275</v>
      </c>
      <c r="E31" s="65">
        <v>43091</v>
      </c>
      <c r="F31" s="61" t="s">
        <v>89</v>
      </c>
      <c r="G31" s="79">
        <f>VLOOKUP(Lancamento[[#This Row],[Tipo despesa/receita]],Planodecontas[],4,FALSE)</f>
        <v>0</v>
      </c>
      <c r="H31" s="70" t="str">
        <f>VLOOKUP(Lancamento[[#This Row],[Ccusto]],Tabela3[],2,FALSE)</f>
        <v>Particular</v>
      </c>
      <c r="I31" s="71" t="str">
        <f>VLOOKUP(Lancamento[[#This Row],[Tipo despesa/receita]],Planodecontas[],2,FALSE)</f>
        <v>Despesas Pessoais</v>
      </c>
    </row>
    <row r="32" spans="1:9" x14ac:dyDescent="0.25">
      <c r="A32" s="67" t="str">
        <f>CONCATENATE(Lancamento[[#This Row],[Mês/Ano]],Lancamento[[#This Row],[Tipo despesa/receita]])</f>
        <v>12/2017Cosméticos</v>
      </c>
      <c r="B32" s="60" t="str">
        <f t="shared" si="0"/>
        <v>12/2017</v>
      </c>
      <c r="C32" s="63" t="s">
        <v>45</v>
      </c>
      <c r="D32" s="66">
        <v>136.19</v>
      </c>
      <c r="E32" s="65">
        <v>43091</v>
      </c>
      <c r="F32" s="61" t="s">
        <v>89</v>
      </c>
      <c r="G32" s="79">
        <f>VLOOKUP(Lancamento[[#This Row],[Tipo despesa/receita]],Planodecontas[],4,FALSE)</f>
        <v>0</v>
      </c>
      <c r="H32" s="70" t="str">
        <f>VLOOKUP(Lancamento[[#This Row],[Ccusto]],Tabela3[],2,FALSE)</f>
        <v>Particular</v>
      </c>
      <c r="I32" s="71" t="str">
        <f>VLOOKUP(Lancamento[[#This Row],[Tipo despesa/receita]],Planodecontas[],2,FALSE)</f>
        <v>Despesas Pessoais</v>
      </c>
    </row>
    <row r="33" spans="1:9" x14ac:dyDescent="0.25">
      <c r="A33" s="67" t="str">
        <f>CONCATENATE(Lancamento[[#This Row],[Mês/Ano]],Lancamento[[#This Row],[Tipo despesa/receita]])</f>
        <v>12/2017Cabeleireiro</v>
      </c>
      <c r="B33" s="60" t="str">
        <f t="shared" si="0"/>
        <v>12/2017</v>
      </c>
      <c r="C33" s="63" t="s">
        <v>46</v>
      </c>
      <c r="D33" s="66">
        <v>16.899999999999999</v>
      </c>
      <c r="E33" s="65">
        <v>43092</v>
      </c>
      <c r="F33" s="61" t="s">
        <v>89</v>
      </c>
      <c r="G33" s="79">
        <f>VLOOKUP(Lancamento[[#This Row],[Tipo despesa/receita]],Planodecontas[],4,FALSE)</f>
        <v>0</v>
      </c>
      <c r="H33" s="70" t="str">
        <f>VLOOKUP(Lancamento[[#This Row],[Ccusto]],Tabela3[],2,FALSE)</f>
        <v>Particular</v>
      </c>
      <c r="I33" s="71" t="str">
        <f>VLOOKUP(Lancamento[[#This Row],[Tipo despesa/receita]],Planodecontas[],2,FALSE)</f>
        <v>Despesas Pessoais</v>
      </c>
    </row>
    <row r="34" spans="1:9" x14ac:dyDescent="0.25">
      <c r="A34" s="67" t="str">
        <f>CONCATENATE(Lancamento[[#This Row],[Mês/Ano]],Lancamento[[#This Row],[Tipo despesa/receita]])</f>
        <v>12/2017Vestuário</v>
      </c>
      <c r="B34" s="60" t="str">
        <f t="shared" ref="B34:B57" si="1">CONCATENATE(MONTH(E34),"/",YEAR(E34))</f>
        <v>12/2017</v>
      </c>
      <c r="C34" s="63" t="s">
        <v>47</v>
      </c>
      <c r="D34" s="66">
        <v>149.15</v>
      </c>
      <c r="E34" s="65">
        <v>43092</v>
      </c>
      <c r="F34" s="61" t="s">
        <v>89</v>
      </c>
      <c r="G34" s="79">
        <f>VLOOKUP(Lancamento[[#This Row],[Tipo despesa/receita]],Planodecontas[],4,FALSE)</f>
        <v>0</v>
      </c>
      <c r="H34" s="70" t="str">
        <f>VLOOKUP(Lancamento[[#This Row],[Ccusto]],Tabela3[],2,FALSE)</f>
        <v>Particular</v>
      </c>
      <c r="I34" s="71" t="str">
        <f>VLOOKUP(Lancamento[[#This Row],[Tipo despesa/receita]],Planodecontas[],2,FALSE)</f>
        <v>Despesas Pessoais</v>
      </c>
    </row>
    <row r="35" spans="1:9" x14ac:dyDescent="0.25">
      <c r="A35" s="67" t="str">
        <f>CONCATENATE(Lancamento[[#This Row],[Mês/Ano]],Lancamento[[#This Row],[Tipo despesa/receita]])</f>
        <v>12/2017Lavanderia</v>
      </c>
      <c r="B35" s="60" t="str">
        <f t="shared" si="1"/>
        <v>12/2017</v>
      </c>
      <c r="C35" s="63" t="s">
        <v>48</v>
      </c>
      <c r="D35" s="66">
        <v>71.5</v>
      </c>
      <c r="E35" s="65">
        <v>43092</v>
      </c>
      <c r="F35" s="61" t="s">
        <v>89</v>
      </c>
      <c r="G35" s="79">
        <f>VLOOKUP(Lancamento[[#This Row],[Tipo despesa/receita]],Planodecontas[],4,FALSE)</f>
        <v>0</v>
      </c>
      <c r="H35" s="70" t="str">
        <f>VLOOKUP(Lancamento[[#This Row],[Ccusto]],Tabela3[],2,FALSE)</f>
        <v>Particular</v>
      </c>
      <c r="I35" s="71" t="str">
        <f>VLOOKUP(Lancamento[[#This Row],[Tipo despesa/receita]],Planodecontas[],2,FALSE)</f>
        <v>Despesas Pessoais</v>
      </c>
    </row>
    <row r="36" spans="1:9" x14ac:dyDescent="0.25">
      <c r="A36" s="67" t="str">
        <f>CONCATENATE(Lancamento[[#This Row],[Mês/Ano]],Lancamento[[#This Row],[Tipo despesa/receita]])</f>
        <v>12/2017Academia</v>
      </c>
      <c r="B36" s="60" t="str">
        <f t="shared" si="1"/>
        <v>12/2017</v>
      </c>
      <c r="C36" s="63" t="s">
        <v>49</v>
      </c>
      <c r="D36" s="66">
        <v>153.16</v>
      </c>
      <c r="E36" s="65">
        <v>43095</v>
      </c>
      <c r="F36" s="61" t="s">
        <v>89</v>
      </c>
      <c r="G36" s="79">
        <f>VLOOKUP(Lancamento[[#This Row],[Tipo despesa/receita]],Planodecontas[],4,FALSE)</f>
        <v>0</v>
      </c>
      <c r="H36" s="70" t="str">
        <f>VLOOKUP(Lancamento[[#This Row],[Ccusto]],Tabela3[],2,FALSE)</f>
        <v>Particular</v>
      </c>
      <c r="I36" s="71" t="str">
        <f>VLOOKUP(Lancamento[[#This Row],[Tipo despesa/receita]],Planodecontas[],2,FALSE)</f>
        <v>Despesas Pessoais</v>
      </c>
    </row>
    <row r="37" spans="1:9" x14ac:dyDescent="0.25">
      <c r="A37" s="67" t="str">
        <f>CONCATENATE(Lancamento[[#This Row],[Mês/Ano]],Lancamento[[#This Row],[Tipo despesa/receita]])</f>
        <v>12/2017Mesada</v>
      </c>
      <c r="B37" s="60" t="str">
        <f t="shared" si="1"/>
        <v>12/2017</v>
      </c>
      <c r="C37" s="63" t="s">
        <v>50</v>
      </c>
      <c r="D37" s="66">
        <v>106.96</v>
      </c>
      <c r="E37" s="65">
        <v>43095</v>
      </c>
      <c r="F37" s="61" t="s">
        <v>89</v>
      </c>
      <c r="G37" s="79">
        <f>VLOOKUP(Lancamento[[#This Row],[Tipo despesa/receita]],Planodecontas[],4,FALSE)</f>
        <v>0</v>
      </c>
      <c r="H37" s="70" t="str">
        <f>VLOOKUP(Lancamento[[#This Row],[Ccusto]],Tabela3[],2,FALSE)</f>
        <v>Particular</v>
      </c>
      <c r="I37" s="71" t="str">
        <f>VLOOKUP(Lancamento[[#This Row],[Tipo despesa/receita]],Planodecontas[],2,FALSE)</f>
        <v>Despesas Pessoais</v>
      </c>
    </row>
    <row r="38" spans="1:9" x14ac:dyDescent="0.25">
      <c r="A38" s="67" t="str">
        <f>CONCATENATE(Lancamento[[#This Row],[Mês/Ano]],Lancamento[[#This Row],[Tipo despesa/receita]])</f>
        <v>12/2017Celular</v>
      </c>
      <c r="B38" s="60" t="str">
        <f t="shared" si="1"/>
        <v>12/2017</v>
      </c>
      <c r="C38" s="63" t="s">
        <v>74</v>
      </c>
      <c r="D38" s="66">
        <v>167</v>
      </c>
      <c r="E38" s="65">
        <v>43095</v>
      </c>
      <c r="F38" s="61" t="s">
        <v>89</v>
      </c>
      <c r="G38" s="79">
        <f>VLOOKUP(Lancamento[[#This Row],[Tipo despesa/receita]],Planodecontas[],4,FALSE)</f>
        <v>0</v>
      </c>
      <c r="H38" s="70" t="str">
        <f>VLOOKUP(Lancamento[[#This Row],[Ccusto]],Tabela3[],2,FALSE)</f>
        <v>Particular</v>
      </c>
      <c r="I38" s="71" t="str">
        <f>VLOOKUP(Lancamento[[#This Row],[Tipo despesa/receita]],Planodecontas[],2,FALSE)</f>
        <v>Despesas Pessoais</v>
      </c>
    </row>
    <row r="39" spans="1:9" x14ac:dyDescent="0.25">
      <c r="A39" s="67" t="str">
        <f>CONCATENATE(Lancamento[[#This Row],[Mês/Ano]],Lancamento[[#This Row],[Tipo despesa/receita]])</f>
        <v>12/2017Outros gastos pessoais</v>
      </c>
      <c r="B39" s="60" t="str">
        <f t="shared" si="1"/>
        <v>12/2017</v>
      </c>
      <c r="C39" s="63" t="s">
        <v>70</v>
      </c>
      <c r="D39" s="66">
        <v>99.99</v>
      </c>
      <c r="E39" s="65">
        <v>43096</v>
      </c>
      <c r="F39" s="61" t="s">
        <v>89</v>
      </c>
      <c r="G39" s="79">
        <f>VLOOKUP(Lancamento[[#This Row],[Tipo despesa/receita]],Planodecontas[],4,FALSE)</f>
        <v>0</v>
      </c>
      <c r="H39" s="70" t="str">
        <f>VLOOKUP(Lancamento[[#This Row],[Ccusto]],Tabela3[],2,FALSE)</f>
        <v>Particular</v>
      </c>
      <c r="I39" s="71" t="str">
        <f>VLOOKUP(Lancamento[[#This Row],[Tipo despesa/receita]],Planodecontas[],2,FALSE)</f>
        <v>Despesas Pessoais</v>
      </c>
    </row>
    <row r="40" spans="1:9" x14ac:dyDescent="0.25">
      <c r="A40" s="67" t="str">
        <f>CONCATENATE(Lancamento[[#This Row],[Mês/Ano]],Lancamento[[#This Row],[Tipo despesa/receita]])</f>
        <v>12/2017Restaurantes Almoço/Jantar</v>
      </c>
      <c r="B40" s="60" t="str">
        <f t="shared" si="1"/>
        <v>12/2017</v>
      </c>
      <c r="C40" s="63" t="s">
        <v>101</v>
      </c>
      <c r="D40" s="66">
        <v>54.22</v>
      </c>
      <c r="E40" s="65">
        <v>43096</v>
      </c>
      <c r="F40" s="61" t="s">
        <v>89</v>
      </c>
      <c r="G40" s="79">
        <f>VLOOKUP(Lancamento[[#This Row],[Tipo despesa/receita]],Planodecontas[],4,FALSE)</f>
        <v>0</v>
      </c>
      <c r="H40" s="70" t="str">
        <f>VLOOKUP(Lancamento[[#This Row],[Ccusto]],Tabela3[],2,FALSE)</f>
        <v>Particular</v>
      </c>
      <c r="I40" s="71" t="str">
        <f>VLOOKUP(Lancamento[[#This Row],[Tipo despesa/receita]],Planodecontas[],2,FALSE)</f>
        <v>Alimentação</v>
      </c>
    </row>
    <row r="41" spans="1:9" x14ac:dyDescent="0.25">
      <c r="A41" s="67" t="str">
        <f>CONCATENATE(Lancamento[[#This Row],[Mês/Ano]],Lancamento[[#This Row],[Tipo despesa/receita]])</f>
        <v>12/2017Cafés/Bares/Boates</v>
      </c>
      <c r="B41" s="60" t="str">
        <f t="shared" si="1"/>
        <v>12/2017</v>
      </c>
      <c r="C41" s="63" t="s">
        <v>52</v>
      </c>
      <c r="D41" s="66">
        <v>163.87</v>
      </c>
      <c r="E41" s="65">
        <v>43097</v>
      </c>
      <c r="F41" s="61" t="s">
        <v>89</v>
      </c>
      <c r="G41" s="79">
        <f>VLOOKUP(Lancamento[[#This Row],[Tipo despesa/receita]],Planodecontas[],4,FALSE)</f>
        <v>0</v>
      </c>
      <c r="H41" s="70" t="str">
        <f>VLOOKUP(Lancamento[[#This Row],[Ccusto]],Tabela3[],2,FALSE)</f>
        <v>Particular</v>
      </c>
      <c r="I41" s="71" t="str">
        <f>VLOOKUP(Lancamento[[#This Row],[Tipo despesa/receita]],Planodecontas[],2,FALSE)</f>
        <v>Lazer</v>
      </c>
    </row>
    <row r="42" spans="1:9" x14ac:dyDescent="0.25">
      <c r="A42" s="67" t="str">
        <f>CONCATENATE(Lancamento[[#This Row],[Mês/Ano]],Lancamento[[#This Row],[Tipo despesa/receita]])</f>
        <v>12/2017Assinaturas Jornais, Revistas</v>
      </c>
      <c r="B42" s="60" t="str">
        <f t="shared" si="1"/>
        <v>12/2017</v>
      </c>
      <c r="C42" s="63" t="s">
        <v>99</v>
      </c>
      <c r="D42" s="66">
        <v>238.38</v>
      </c>
      <c r="E42" s="65">
        <v>43098</v>
      </c>
      <c r="F42" s="61" t="s">
        <v>89</v>
      </c>
      <c r="G42" s="79">
        <f>VLOOKUP(Lancamento[[#This Row],[Tipo despesa/receita]],Planodecontas[],4,FALSE)</f>
        <v>0</v>
      </c>
      <c r="H42" s="70" t="str">
        <f>VLOOKUP(Lancamento[[#This Row],[Ccusto]],Tabela3[],2,FALSE)</f>
        <v>Particular</v>
      </c>
      <c r="I42" s="71" t="str">
        <f>VLOOKUP(Lancamento[[#This Row],[Tipo despesa/receita]],Planodecontas[],2,FALSE)</f>
        <v>Lazer</v>
      </c>
    </row>
    <row r="43" spans="1:9" x14ac:dyDescent="0.25">
      <c r="A43" s="67" t="str">
        <f>CONCATENATE(Lancamento[[#This Row],[Mês/Ano]],Lancamento[[#This Row],[Tipo despesa/receita]])</f>
        <v>12/2017Netflix</v>
      </c>
      <c r="B43" s="60" t="str">
        <f t="shared" si="1"/>
        <v>12/2017</v>
      </c>
      <c r="C43" s="63" t="s">
        <v>7</v>
      </c>
      <c r="D43" s="66">
        <v>42.46</v>
      </c>
      <c r="E43" s="65">
        <v>43098</v>
      </c>
      <c r="F43" s="61" t="s">
        <v>89</v>
      </c>
      <c r="G43" s="79">
        <f>VLOOKUP(Lancamento[[#This Row],[Tipo despesa/receita]],Planodecontas[],4,FALSE)</f>
        <v>0</v>
      </c>
      <c r="H43" s="70" t="str">
        <f>VLOOKUP(Lancamento[[#This Row],[Ccusto]],Tabela3[],2,FALSE)</f>
        <v>Particular</v>
      </c>
      <c r="I43" s="71" t="str">
        <f>VLOOKUP(Lancamento[[#This Row],[Tipo despesa/receita]],Planodecontas[],2,FALSE)</f>
        <v>Lazer</v>
      </c>
    </row>
    <row r="44" spans="1:9" x14ac:dyDescent="0.25">
      <c r="A44" s="67" t="str">
        <f>CONCATENATE(Lancamento[[#This Row],[Mês/Ano]],Lancamento[[#This Row],[Tipo despesa/receita]])</f>
        <v>12/2017Supermercado</v>
      </c>
      <c r="B44" s="60" t="str">
        <f t="shared" si="1"/>
        <v>12/2017</v>
      </c>
      <c r="C44" s="63" t="s">
        <v>102</v>
      </c>
      <c r="D44" s="66">
        <v>134.79</v>
      </c>
      <c r="E44" s="65">
        <v>43099</v>
      </c>
      <c r="F44" s="61" t="s">
        <v>89</v>
      </c>
      <c r="G44" s="79">
        <f>VLOOKUP(Lancamento[[#This Row],[Tipo despesa/receita]],Planodecontas[],4,FALSE)</f>
        <v>0</v>
      </c>
      <c r="H44" s="70" t="str">
        <f>VLOOKUP(Lancamento[[#This Row],[Ccusto]],Tabela3[],2,FALSE)</f>
        <v>Particular</v>
      </c>
      <c r="I44" s="71" t="str">
        <f>VLOOKUP(Lancamento[[#This Row],[Tipo despesa/receita]],Planodecontas[],2,FALSE)</f>
        <v>Alimentação</v>
      </c>
    </row>
    <row r="45" spans="1:9" x14ac:dyDescent="0.25">
      <c r="A45" s="67" t="str">
        <f>CONCATENATE(Lancamento[[#This Row],[Mês/Ano]],Lancamento[[#This Row],[Tipo despesa/receita]])</f>
        <v>12/2017Hotéis</v>
      </c>
      <c r="B45" s="60" t="str">
        <f t="shared" si="1"/>
        <v>12/2017</v>
      </c>
      <c r="C45" s="63" t="s">
        <v>53</v>
      </c>
      <c r="D45" s="66">
        <v>95.45</v>
      </c>
      <c r="E45" s="65">
        <v>43099</v>
      </c>
      <c r="F45" s="61" t="s">
        <v>89</v>
      </c>
      <c r="G45" s="79">
        <f>VLOOKUP(Lancamento[[#This Row],[Tipo despesa/receita]],Planodecontas[],4,FALSE)</f>
        <v>0</v>
      </c>
      <c r="H45" s="70" t="str">
        <f>VLOOKUP(Lancamento[[#This Row],[Ccusto]],Tabela3[],2,FALSE)</f>
        <v>Particular</v>
      </c>
      <c r="I45" s="71" t="str">
        <f>VLOOKUP(Lancamento[[#This Row],[Tipo despesa/receita]],Planodecontas[],2,FALSE)</f>
        <v>Lazer</v>
      </c>
    </row>
    <row r="46" spans="1:9" x14ac:dyDescent="0.25">
      <c r="A46" s="67" t="str">
        <f>CONCATENATE(Lancamento[[#This Row],[Mês/Ano]],Lancamento[[#This Row],[Tipo despesa/receita]])</f>
        <v>12/2017Passeios/Férias</v>
      </c>
      <c r="B46" s="60" t="str">
        <f t="shared" si="1"/>
        <v>12/2017</v>
      </c>
      <c r="C46" s="63" t="s">
        <v>54</v>
      </c>
      <c r="D46" s="66">
        <v>52.95</v>
      </c>
      <c r="E46" s="65">
        <v>43100</v>
      </c>
      <c r="F46" s="61" t="s">
        <v>89</v>
      </c>
      <c r="G46" s="79">
        <f>VLOOKUP(Lancamento[[#This Row],[Tipo despesa/receita]],Planodecontas[],4,FALSE)</f>
        <v>0</v>
      </c>
      <c r="H46" s="70" t="str">
        <f>VLOOKUP(Lancamento[[#This Row],[Ccusto]],Tabela3[],2,FALSE)</f>
        <v>Particular</v>
      </c>
      <c r="I46" s="71" t="str">
        <f>VLOOKUP(Lancamento[[#This Row],[Tipo despesa/receita]],Planodecontas[],2,FALSE)</f>
        <v>Lazer</v>
      </c>
    </row>
    <row r="47" spans="1:9" x14ac:dyDescent="0.25">
      <c r="A47" s="67" t="str">
        <f>CONCATENATE(Lancamento[[#This Row],[Mês/Ano]],Lancamento[[#This Row],[Tipo despesa/receita]])</f>
        <v>12/2017Outros gastos lazer</v>
      </c>
      <c r="B47" s="60" t="str">
        <f t="shared" si="1"/>
        <v>12/2017</v>
      </c>
      <c r="C47" s="63" t="s">
        <v>71</v>
      </c>
      <c r="D47" s="66">
        <v>139.80000000000001</v>
      </c>
      <c r="E47" s="65">
        <v>43100</v>
      </c>
      <c r="F47" s="61" t="s">
        <v>89</v>
      </c>
      <c r="G47" s="79">
        <f>VLOOKUP(Lancamento[[#This Row],[Tipo despesa/receita]],Planodecontas[],4,FALSE)</f>
        <v>0</v>
      </c>
      <c r="H47" s="70" t="str">
        <f>VLOOKUP(Lancamento[[#This Row],[Ccusto]],Tabela3[],2,FALSE)</f>
        <v>Particular</v>
      </c>
      <c r="I47" s="71" t="str">
        <f>VLOOKUP(Lancamento[[#This Row],[Tipo despesa/receita]],Planodecontas[],2,FALSE)</f>
        <v>Lazer</v>
      </c>
    </row>
    <row r="48" spans="1:9" x14ac:dyDescent="0.25">
      <c r="A48" s="67" t="str">
        <f>CONCATENATE(Lancamento[[#This Row],[Mês/Ano]],Lancamento[[#This Row],[Tipo despesa/receita]])</f>
        <v>1/2017Bancos</v>
      </c>
      <c r="B48" s="60" t="str">
        <f t="shared" si="1"/>
        <v>1/2017</v>
      </c>
      <c r="C48" s="63" t="s">
        <v>72</v>
      </c>
      <c r="D48" s="66">
        <v>0</v>
      </c>
      <c r="E48" s="65">
        <v>42736</v>
      </c>
      <c r="F48" s="61" t="s">
        <v>89</v>
      </c>
      <c r="G48" s="79">
        <f>VLOOKUP(Lancamento[[#This Row],[Tipo despesa/receita]],Planodecontas[],4,FALSE)</f>
        <v>0</v>
      </c>
      <c r="H48" s="70" t="str">
        <f>VLOOKUP(Lancamento[[#This Row],[Ccusto]],Tabela3[],2,FALSE)</f>
        <v>Particular</v>
      </c>
      <c r="I48" s="71" t="str">
        <f>VLOOKUP(Lancamento[[#This Row],[Tipo despesa/receita]],Planodecontas[],2,FALSE)</f>
        <v>Empréstimos e Cartões</v>
      </c>
    </row>
    <row r="49" spans="1:9" x14ac:dyDescent="0.25">
      <c r="A49" s="67" t="str">
        <f>CONCATENATE(Lancamento[[#This Row],[Mês/Ano]],Lancamento[[#This Row],[Tipo despesa/receita]])</f>
        <v>1/2017MasterCard</v>
      </c>
      <c r="B49" s="60" t="str">
        <f t="shared" si="1"/>
        <v>1/2017</v>
      </c>
      <c r="C49" s="63" t="s">
        <v>55</v>
      </c>
      <c r="D49" s="66">
        <v>0</v>
      </c>
      <c r="E49" s="65">
        <v>42737</v>
      </c>
      <c r="F49" s="61" t="s">
        <v>89</v>
      </c>
      <c r="G49" s="79">
        <f>VLOOKUP(Lancamento[[#This Row],[Tipo despesa/receita]],Planodecontas[],4,FALSE)</f>
        <v>0</v>
      </c>
      <c r="H49" s="70" t="str">
        <f>VLOOKUP(Lancamento[[#This Row],[Ccusto]],Tabela3[],2,FALSE)</f>
        <v>Particular</v>
      </c>
      <c r="I49" s="71" t="str">
        <f>VLOOKUP(Lancamento[[#This Row],[Tipo despesa/receita]],Planodecontas[],2,FALSE)</f>
        <v>Empréstimos e Cartões</v>
      </c>
    </row>
    <row r="50" spans="1:9" x14ac:dyDescent="0.25">
      <c r="A50" s="67" t="str">
        <f>CONCATENATE(Lancamento[[#This Row],[Mês/Ano]],Lancamento[[#This Row],[Tipo despesa/receita]])</f>
        <v>1/2017Visa</v>
      </c>
      <c r="B50" s="60" t="str">
        <f t="shared" si="1"/>
        <v>1/2017</v>
      </c>
      <c r="C50" s="63" t="s">
        <v>56</v>
      </c>
      <c r="D50" s="66">
        <v>0</v>
      </c>
      <c r="E50" s="65">
        <v>42737</v>
      </c>
      <c r="F50" s="61" t="s">
        <v>89</v>
      </c>
      <c r="G50" s="79">
        <f>VLOOKUP(Lancamento[[#This Row],[Tipo despesa/receita]],Planodecontas[],4,FALSE)</f>
        <v>0</v>
      </c>
      <c r="H50" s="70" t="str">
        <f>VLOOKUP(Lancamento[[#This Row],[Ccusto]],Tabela3[],2,FALSE)</f>
        <v>Particular</v>
      </c>
      <c r="I50" s="71" t="str">
        <f>VLOOKUP(Lancamento[[#This Row],[Tipo despesa/receita]],Planodecontas[],2,FALSE)</f>
        <v>Empréstimos e Cartões</v>
      </c>
    </row>
    <row r="51" spans="1:9" x14ac:dyDescent="0.25">
      <c r="A51" s="67" t="str">
        <f>CONCATENATE(Lancamento[[#This Row],[Mês/Ano]],Lancamento[[#This Row],[Tipo despesa/receita]])</f>
        <v>1/2017Combústivel</v>
      </c>
      <c r="B51" s="60" t="str">
        <f t="shared" si="1"/>
        <v>1/2017</v>
      </c>
      <c r="C51" s="63" t="s">
        <v>103</v>
      </c>
      <c r="D51" s="66">
        <v>0</v>
      </c>
      <c r="E51" s="65">
        <v>42738</v>
      </c>
      <c r="F51" s="61" t="s">
        <v>91</v>
      </c>
      <c r="G51" s="79">
        <f>VLOOKUP(Lancamento[[#This Row],[Tipo despesa/receita]],Planodecontas[],4,FALSE)</f>
        <v>0</v>
      </c>
      <c r="H51" s="70" t="str">
        <f>VLOOKUP(Lancamento[[#This Row],[Ccusto]],Tabela3[],2,FALSE)</f>
        <v>Empresa</v>
      </c>
      <c r="I51" s="71" t="str">
        <f>VLOOKUP(Lancamento[[#This Row],[Tipo despesa/receita]],Planodecontas[],2,FALSE)</f>
        <v>Transporte</v>
      </c>
    </row>
    <row r="52" spans="1:9" x14ac:dyDescent="0.25">
      <c r="A52" s="67" t="str">
        <f>CONCATENATE(Lancamento[[#This Row],[Mês/Ano]],Lancamento[[#This Row],[Tipo despesa/receita]])</f>
        <v>1/2017Escola/Faculdade</v>
      </c>
      <c r="B52" s="60" t="str">
        <f t="shared" si="1"/>
        <v>1/2017</v>
      </c>
      <c r="C52" s="63" t="s">
        <v>58</v>
      </c>
      <c r="D52" s="66">
        <v>0</v>
      </c>
      <c r="E52" s="65">
        <v>42738</v>
      </c>
      <c r="F52" s="61" t="s">
        <v>89</v>
      </c>
      <c r="G52" s="79">
        <f>VLOOKUP(Lancamento[[#This Row],[Tipo despesa/receita]],Planodecontas[],4,FALSE)</f>
        <v>0</v>
      </c>
      <c r="H52" s="70" t="str">
        <f>VLOOKUP(Lancamento[[#This Row],[Ccusto]],Tabela3[],2,FALSE)</f>
        <v>Particular</v>
      </c>
      <c r="I52" s="71" t="str">
        <f>VLOOKUP(Lancamento[[#This Row],[Tipo despesa/receita]],Planodecontas[],2,FALSE)</f>
        <v>Educação &amp; Filhos</v>
      </c>
    </row>
    <row r="53" spans="1:9" x14ac:dyDescent="0.25">
      <c r="A53" s="67" t="str">
        <f>CONCATENATE(Lancamento[[#This Row],[Mês/Ano]],Lancamento[[#This Row],[Tipo despesa/receita]])</f>
        <v>1/2017Cursos Extras</v>
      </c>
      <c r="B53" s="60" t="str">
        <f t="shared" si="1"/>
        <v>1/2017</v>
      </c>
      <c r="C53" s="63" t="s">
        <v>59</v>
      </c>
      <c r="D53" s="66">
        <v>0</v>
      </c>
      <c r="E53" s="65">
        <v>42739</v>
      </c>
      <c r="F53" s="61" t="s">
        <v>89</v>
      </c>
      <c r="G53" s="79">
        <f>VLOOKUP(Lancamento[[#This Row],[Tipo despesa/receita]],Planodecontas[],4,FALSE)</f>
        <v>0</v>
      </c>
      <c r="H53" s="70" t="str">
        <f>VLOOKUP(Lancamento[[#This Row],[Ccusto]],Tabela3[],2,FALSE)</f>
        <v>Particular</v>
      </c>
      <c r="I53" s="71" t="str">
        <f>VLOOKUP(Lancamento[[#This Row],[Tipo despesa/receita]],Planodecontas[],2,FALSE)</f>
        <v>Educação &amp; Filhos</v>
      </c>
    </row>
    <row r="54" spans="1:9" x14ac:dyDescent="0.25">
      <c r="A54" s="67" t="str">
        <f>CONCATENATE(Lancamento[[#This Row],[Mês/Ano]],Lancamento[[#This Row],[Tipo despesa/receita]])</f>
        <v>1/2017Material escolar</v>
      </c>
      <c r="B54" s="60" t="str">
        <f t="shared" si="1"/>
        <v>1/2017</v>
      </c>
      <c r="C54" s="63" t="s">
        <v>60</v>
      </c>
      <c r="D54" s="66">
        <v>0</v>
      </c>
      <c r="E54" s="65">
        <v>42740</v>
      </c>
      <c r="F54" s="61" t="s">
        <v>89</v>
      </c>
      <c r="G54" s="79">
        <f>VLOOKUP(Lancamento[[#This Row],[Tipo despesa/receita]],Planodecontas[],4,FALSE)</f>
        <v>0</v>
      </c>
      <c r="H54" s="70" t="str">
        <f>VLOOKUP(Lancamento[[#This Row],[Ccusto]],Tabela3[],2,FALSE)</f>
        <v>Particular</v>
      </c>
      <c r="I54" s="71" t="str">
        <f>VLOOKUP(Lancamento[[#This Row],[Tipo despesa/receita]],Planodecontas[],2,FALSE)</f>
        <v>Educação &amp; Filhos</v>
      </c>
    </row>
    <row r="55" spans="1:9" x14ac:dyDescent="0.25">
      <c r="A55" s="67" t="str">
        <f>CONCATENATE(Lancamento[[#This Row],[Mês/Ano]],Lancamento[[#This Row],[Tipo despesa/receita]])</f>
        <v>1/2017Esportes/Uniformes</v>
      </c>
      <c r="B55" s="60" t="str">
        <f t="shared" si="1"/>
        <v>1/2017</v>
      </c>
      <c r="C55" s="63" t="s">
        <v>61</v>
      </c>
      <c r="D55" s="66">
        <v>0</v>
      </c>
      <c r="E55" s="65">
        <v>42742</v>
      </c>
      <c r="F55" s="61" t="s">
        <v>89</v>
      </c>
      <c r="G55" s="79">
        <f>VLOOKUP(Lancamento[[#This Row],[Tipo despesa/receita]],Planodecontas[],4,FALSE)</f>
        <v>0</v>
      </c>
      <c r="H55" s="70" t="str">
        <f>VLOOKUP(Lancamento[[#This Row],[Ccusto]],Tabela3[],2,FALSE)</f>
        <v>Particular</v>
      </c>
      <c r="I55" s="71" t="str">
        <f>VLOOKUP(Lancamento[[#This Row],[Tipo despesa/receita]],Planodecontas[],2,FALSE)</f>
        <v>Educação &amp; Filhos</v>
      </c>
    </row>
    <row r="56" spans="1:9" x14ac:dyDescent="0.25">
      <c r="A56" s="67" t="str">
        <f>CONCATENATE(Lancamento[[#This Row],[Mês/Ano]],Lancamento[[#This Row],[Tipo despesa/receita]])</f>
        <v>1/2017Outros gastos educação</v>
      </c>
      <c r="B56" s="60" t="str">
        <f t="shared" si="1"/>
        <v>1/2017</v>
      </c>
      <c r="C56" s="63" t="s">
        <v>73</v>
      </c>
      <c r="D56" s="66">
        <v>0</v>
      </c>
      <c r="E56" s="65">
        <v>42742</v>
      </c>
      <c r="F56" s="61" t="s">
        <v>89</v>
      </c>
      <c r="G56" s="79">
        <f>VLOOKUP(Lancamento[[#This Row],[Tipo despesa/receita]],Planodecontas[],4,FALSE)</f>
        <v>0</v>
      </c>
      <c r="H56" s="70" t="str">
        <f>VLOOKUP(Lancamento[[#This Row],[Ccusto]],Tabela3[],2,FALSE)</f>
        <v>Particular</v>
      </c>
      <c r="I56" s="71" t="str">
        <f>VLOOKUP(Lancamento[[#This Row],[Tipo despesa/receita]],Planodecontas[],2,FALSE)</f>
        <v>Educação &amp; Filhos</v>
      </c>
    </row>
    <row r="57" spans="1:9" x14ac:dyDescent="0.25">
      <c r="A57" s="68" t="str">
        <f>CONCATENATE(Lancamento[[#This Row],[Mês/Ano]],Lancamento[[#This Row],[Tipo despesa/receita]])</f>
        <v>11/2017Condomínio</v>
      </c>
      <c r="B57" s="68" t="str">
        <f t="shared" si="1"/>
        <v>11/2017</v>
      </c>
      <c r="C57" s="58" t="s">
        <v>1</v>
      </c>
      <c r="D57" s="59">
        <v>300</v>
      </c>
      <c r="E57" s="61">
        <v>43062</v>
      </c>
      <c r="F57" s="61" t="s">
        <v>89</v>
      </c>
      <c r="G57" s="79">
        <f>VLOOKUP(Lancamento[[#This Row],[Tipo despesa/receita]],Planodecontas[],4,FALSE)</f>
        <v>42653</v>
      </c>
      <c r="H57" s="70" t="str">
        <f>VLOOKUP(Lancamento[[#This Row],[Ccusto]],Tabela3[],2,FALSE)</f>
        <v>Particular</v>
      </c>
      <c r="I57" s="72" t="str">
        <f>VLOOKUP(Lancamento[[#This Row],[Tipo despesa/receita]],Planodecontas[],2,FALSE)</f>
        <v>Moradia</v>
      </c>
    </row>
    <row r="58" spans="1:9" x14ac:dyDescent="0.25">
      <c r="A58" s="68" t="str">
        <f>CONCATENATE(Lancamento[[#This Row],[Mês/Ano]],Lancamento[[#This Row],[Tipo despesa/receita]])</f>
        <v>1/2017Mecânico</v>
      </c>
      <c r="B58" s="68" t="str">
        <f t="shared" ref="B58:B67" si="2">CONCATENATE(MONTH(E58),"/",YEAR(E58))</f>
        <v>1/2017</v>
      </c>
      <c r="C58" s="58" t="s">
        <v>41</v>
      </c>
      <c r="D58" s="59">
        <v>425.88</v>
      </c>
      <c r="E58" s="61">
        <v>42763</v>
      </c>
      <c r="F58" s="65" t="s">
        <v>89</v>
      </c>
      <c r="G58" s="79">
        <f>VLOOKUP(Lancamento[[#This Row],[Tipo despesa/receita]],Planodecontas[],4,FALSE)</f>
        <v>0</v>
      </c>
      <c r="H58" s="70" t="str">
        <f>VLOOKUP(Lancamento[[#This Row],[Ccusto]],Tabela3[],2,FALSE)</f>
        <v>Particular</v>
      </c>
      <c r="I58" s="72" t="str">
        <f>VLOOKUP(Lancamento[[#This Row],[Tipo despesa/receita]],Planodecontas[],2,FALSE)</f>
        <v>Transporte</v>
      </c>
    </row>
    <row r="59" spans="1:9" x14ac:dyDescent="0.25">
      <c r="A59" s="68" t="str">
        <f>CONCATENATE(Lancamento[[#This Row],[Mês/Ano]],Lancamento[[#This Row],[Tipo despesa/receita]])</f>
        <v>2/2017Mecânico</v>
      </c>
      <c r="B59" s="68" t="str">
        <f t="shared" si="2"/>
        <v>2/2017</v>
      </c>
      <c r="C59" s="58" t="s">
        <v>41</v>
      </c>
      <c r="D59" s="59">
        <v>425.88</v>
      </c>
      <c r="E59" s="61">
        <v>42794</v>
      </c>
      <c r="F59" s="65" t="s">
        <v>89</v>
      </c>
      <c r="G59" s="79">
        <f>VLOOKUP(Lancamento[[#This Row],[Tipo despesa/receita]],Planodecontas[],4,FALSE)</f>
        <v>0</v>
      </c>
      <c r="H59" s="70" t="str">
        <f>VLOOKUP(Lancamento[[#This Row],[Ccusto]],Tabela3[],2,FALSE)</f>
        <v>Particular</v>
      </c>
      <c r="I59" s="72" t="str">
        <f>VLOOKUP(Lancamento[[#This Row],[Tipo despesa/receita]],Planodecontas[],2,FALSE)</f>
        <v>Transporte</v>
      </c>
    </row>
    <row r="60" spans="1:9" x14ac:dyDescent="0.25">
      <c r="A60" s="68" t="str">
        <f>CONCATENATE(Lancamento[[#This Row],[Mês/Ano]],Lancamento[[#This Row],[Tipo despesa/receita]])</f>
        <v>3/2017Mecânico</v>
      </c>
      <c r="B60" s="68" t="str">
        <f t="shared" si="2"/>
        <v>3/2017</v>
      </c>
      <c r="C60" s="58" t="s">
        <v>41</v>
      </c>
      <c r="D60" s="59">
        <v>425.88</v>
      </c>
      <c r="E60" s="61">
        <v>42822</v>
      </c>
      <c r="F60" s="65" t="s">
        <v>89</v>
      </c>
      <c r="G60" s="79">
        <f>VLOOKUP(Lancamento[[#This Row],[Tipo despesa/receita]],Planodecontas[],4,FALSE)</f>
        <v>0</v>
      </c>
      <c r="H60" s="70" t="str">
        <f>VLOOKUP(Lancamento[[#This Row],[Ccusto]],Tabela3[],2,FALSE)</f>
        <v>Particular</v>
      </c>
      <c r="I60" s="72" t="str">
        <f>VLOOKUP(Lancamento[[#This Row],[Tipo despesa/receita]],Planodecontas[],2,FALSE)</f>
        <v>Transporte</v>
      </c>
    </row>
    <row r="61" spans="1:9" x14ac:dyDescent="0.25">
      <c r="A61" s="68" t="str">
        <f>CONCATENATE(Lancamento[[#This Row],[Mês/Ano]],Lancamento[[#This Row],[Tipo despesa/receita]])</f>
        <v>1/2017Mecânico</v>
      </c>
      <c r="B61" s="68" t="str">
        <f t="shared" si="2"/>
        <v>1/2017</v>
      </c>
      <c r="C61" s="58" t="s">
        <v>41</v>
      </c>
      <c r="D61" s="59">
        <v>680</v>
      </c>
      <c r="E61" s="61">
        <v>42763</v>
      </c>
      <c r="F61" s="65" t="s">
        <v>89</v>
      </c>
      <c r="G61" s="79">
        <f>VLOOKUP(Lancamento[[#This Row],[Tipo despesa/receita]],Planodecontas[],4,FALSE)</f>
        <v>0</v>
      </c>
      <c r="H61" s="70" t="str">
        <f>VLOOKUP(Lancamento[[#This Row],[Ccusto]],Tabela3[],2,FALSE)</f>
        <v>Particular</v>
      </c>
      <c r="I61" s="72" t="str">
        <f>VLOOKUP(Lancamento[[#This Row],[Tipo despesa/receita]],Planodecontas[],2,FALSE)</f>
        <v>Transporte</v>
      </c>
    </row>
    <row r="62" spans="1:9" x14ac:dyDescent="0.25">
      <c r="A62" s="68" t="str">
        <f>CONCATENATE(Lancamento[[#This Row],[Mês/Ano]],Lancamento[[#This Row],[Tipo despesa/receita]])</f>
        <v>2/2017Mecânico</v>
      </c>
      <c r="B62" s="68" t="str">
        <f t="shared" si="2"/>
        <v>2/2017</v>
      </c>
      <c r="C62" s="58" t="s">
        <v>41</v>
      </c>
      <c r="D62" s="59">
        <v>680</v>
      </c>
      <c r="E62" s="61">
        <v>42794</v>
      </c>
      <c r="F62" s="65" t="s">
        <v>89</v>
      </c>
      <c r="G62" s="79">
        <f>VLOOKUP(Lancamento[[#This Row],[Tipo despesa/receita]],Planodecontas[],4,FALSE)</f>
        <v>0</v>
      </c>
      <c r="H62" s="70" t="str">
        <f>VLOOKUP(Lancamento[[#This Row],[Ccusto]],Tabela3[],2,FALSE)</f>
        <v>Particular</v>
      </c>
      <c r="I62" s="72" t="str">
        <f>VLOOKUP(Lancamento[[#This Row],[Tipo despesa/receita]],Planodecontas[],2,FALSE)</f>
        <v>Transporte</v>
      </c>
    </row>
    <row r="63" spans="1:9" x14ac:dyDescent="0.25">
      <c r="A63" s="68" t="str">
        <f>CONCATENATE(Lancamento[[#This Row],[Mês/Ano]],Lancamento[[#This Row],[Tipo despesa/receita]])</f>
        <v>3/2017Mecânico</v>
      </c>
      <c r="B63" s="68" t="str">
        <f t="shared" si="2"/>
        <v>3/2017</v>
      </c>
      <c r="C63" s="58" t="s">
        <v>41</v>
      </c>
      <c r="D63" s="59">
        <v>680</v>
      </c>
      <c r="E63" s="61">
        <v>42822</v>
      </c>
      <c r="F63" s="65" t="s">
        <v>89</v>
      </c>
      <c r="G63" s="79">
        <f>VLOOKUP(Lancamento[[#This Row],[Tipo despesa/receita]],Planodecontas[],4,FALSE)</f>
        <v>0</v>
      </c>
      <c r="H63" s="70" t="str">
        <f>VLOOKUP(Lancamento[[#This Row],[Ccusto]],Tabela3[],2,FALSE)</f>
        <v>Particular</v>
      </c>
      <c r="I63" s="72" t="str">
        <f>VLOOKUP(Lancamento[[#This Row],[Tipo despesa/receita]],Planodecontas[],2,FALSE)</f>
        <v>Transporte</v>
      </c>
    </row>
    <row r="64" spans="1:9" x14ac:dyDescent="0.25">
      <c r="A64" s="68" t="str">
        <f>CONCATENATE(Lancamento[[#This Row],[Mês/Ano]],Lancamento[[#This Row],[Tipo despesa/receita]])</f>
        <v>4/2017Mecânico</v>
      </c>
      <c r="B64" s="68" t="str">
        <f t="shared" si="2"/>
        <v>4/2017</v>
      </c>
      <c r="C64" s="58" t="s">
        <v>41</v>
      </c>
      <c r="D64" s="59">
        <v>680</v>
      </c>
      <c r="E64" s="61">
        <v>42853</v>
      </c>
      <c r="F64" s="65" t="s">
        <v>89</v>
      </c>
      <c r="G64" s="79">
        <f>VLOOKUP(Lancamento[[#This Row],[Tipo despesa/receita]],Planodecontas[],4,FALSE)</f>
        <v>0</v>
      </c>
      <c r="H64" s="70" t="str">
        <f>VLOOKUP(Lancamento[[#This Row],[Ccusto]],Tabela3[],2,FALSE)</f>
        <v>Particular</v>
      </c>
      <c r="I64" s="72" t="str">
        <f>VLOOKUP(Lancamento[[#This Row],[Tipo despesa/receita]],Planodecontas[],2,FALSE)</f>
        <v>Transporte</v>
      </c>
    </row>
    <row r="65" spans="1:9" x14ac:dyDescent="0.25">
      <c r="A65" s="68" t="str">
        <f>CONCATENATE(Lancamento[[#This Row],[Mês/Ano]],Lancamento[[#This Row],[Tipo despesa/receita]])</f>
        <v>1/1900</v>
      </c>
      <c r="B65" s="68" t="str">
        <f t="shared" si="2"/>
        <v>1/1900</v>
      </c>
      <c r="F65" s="65"/>
      <c r="G65" s="79" t="e">
        <f>VLOOKUP(Lancamento[[#This Row],[Tipo despesa/receita]],Planodecontas[],4,FALSE)</f>
        <v>#N/A</v>
      </c>
      <c r="H65" s="70" t="e">
        <f>VLOOKUP(Lancamento[[#This Row],[Ccusto]],Tabela3[],2,FALSE)</f>
        <v>#N/A</v>
      </c>
      <c r="I65" s="72" t="e">
        <f>VLOOKUP(Lancamento[[#This Row],[Tipo despesa/receita]],Planodecontas[],2,FALSE)</f>
        <v>#N/A</v>
      </c>
    </row>
    <row r="66" spans="1:9" x14ac:dyDescent="0.25">
      <c r="A66" s="68" t="str">
        <f>CONCATENATE(Lancamento[[#This Row],[Mês/Ano]],Lancamento[[#This Row],[Tipo despesa/receita]])</f>
        <v>1/1900</v>
      </c>
      <c r="B66" s="68" t="str">
        <f t="shared" si="2"/>
        <v>1/1900</v>
      </c>
      <c r="F66" s="65"/>
      <c r="G66" s="79" t="e">
        <f>VLOOKUP(Lancamento[[#This Row],[Tipo despesa/receita]],Planodecontas[],4,FALSE)</f>
        <v>#N/A</v>
      </c>
      <c r="H66" s="70" t="e">
        <f>VLOOKUP(Lancamento[[#This Row],[Ccusto]],Tabela3[],2,FALSE)</f>
        <v>#N/A</v>
      </c>
      <c r="I66" s="72" t="e">
        <f>VLOOKUP(Lancamento[[#This Row],[Tipo despesa/receita]],Planodecontas[],2,FALSE)</f>
        <v>#N/A</v>
      </c>
    </row>
    <row r="67" spans="1:9" x14ac:dyDescent="0.25">
      <c r="A67" s="68" t="str">
        <f>CONCATENATE(Lancamento[[#This Row],[Mês/Ano]],Lancamento[[#This Row],[Tipo despesa/receita]])</f>
        <v>1/1900</v>
      </c>
      <c r="B67" s="68" t="str">
        <f t="shared" si="2"/>
        <v>1/1900</v>
      </c>
      <c r="F67" s="65"/>
      <c r="G67" s="79" t="e">
        <f>VLOOKUP(Lancamento[[#This Row],[Tipo despesa/receita]],Planodecontas[],4,FALSE)</f>
        <v>#N/A</v>
      </c>
      <c r="H67" s="70" t="e">
        <f>VLOOKUP(Lancamento[[#This Row],[Ccusto]],Tabela3[],2,FALSE)</f>
        <v>#N/A</v>
      </c>
      <c r="I67" s="72" t="e">
        <f>VLOOKUP(Lancamento[[#This Row],[Tipo despesa/receita]],Planodecontas[],2,FALSE)</f>
        <v>#N/A</v>
      </c>
    </row>
  </sheetData>
  <dataValidations count="1">
    <dataValidation type="list" allowBlank="1" showInputMessage="1" showErrorMessage="1" sqref="F2:F67">
      <formula1>"E,P"</formula1>
    </dataValidation>
  </dataValidations>
  <pageMargins left="0.511811024" right="0.511811024" top="0.78740157499999996" bottom="0.78740157499999996" header="0.31496062000000002" footer="0.31496062000000002"/>
  <pageSetup orientation="portrait" verticalDpi="0" r:id="rId1"/>
  <drawing r:id="rId2"/>
  <tableParts count="2">
    <tablePart r:id="rId3"/>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PlanoDeContas!$A$2:$A$577</xm:f>
          </x14:formula1>
          <xm:sqref>C2:C67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zoomScale="90" zoomScaleNormal="90" workbookViewId="0">
      <selection activeCell="C71" sqref="C71"/>
    </sheetView>
  </sheetViews>
  <sheetFormatPr defaultRowHeight="15" x14ac:dyDescent="0.25"/>
  <cols>
    <col min="1" max="1" width="27.140625" style="1" bestFit="1" customWidth="1"/>
    <col min="2" max="2" width="15.85546875" style="1" bestFit="1" customWidth="1"/>
    <col min="3" max="3" width="16.28515625" style="53" bestFit="1" customWidth="1"/>
    <col min="4" max="5" width="11.28515625" style="53" customWidth="1"/>
    <col min="6" max="7" width="12" style="53" bestFit="1" customWidth="1"/>
    <col min="8" max="8" width="12.140625" style="53" bestFit="1" customWidth="1"/>
    <col min="9" max="9" width="12" style="53" bestFit="1" customWidth="1"/>
    <col min="10" max="10" width="13.28515625" style="53" customWidth="1"/>
    <col min="11" max="12" width="12.28515625" style="53" bestFit="1" customWidth="1"/>
    <col min="13" max="14" width="12.28515625" style="53" customWidth="1"/>
    <col min="15" max="15" width="12.28515625" style="53" bestFit="1" customWidth="1"/>
    <col min="16" max="16" width="11.28515625" style="1" bestFit="1" customWidth="1"/>
    <col min="17" max="16384" width="9.140625" style="1"/>
  </cols>
  <sheetData>
    <row r="1" spans="1:15" ht="18" x14ac:dyDescent="0.25">
      <c r="A1" s="86" t="s">
        <v>8</v>
      </c>
      <c r="B1" s="87"/>
      <c r="C1" s="87"/>
      <c r="D1" s="87"/>
      <c r="E1" s="87"/>
      <c r="F1" s="87"/>
      <c r="G1" s="87"/>
      <c r="H1" s="87"/>
      <c r="I1" s="87"/>
      <c r="J1" s="87"/>
      <c r="K1" s="87"/>
      <c r="L1" s="87"/>
      <c r="M1" s="87"/>
      <c r="N1" s="87"/>
      <c r="O1" s="87"/>
    </row>
    <row r="2" spans="1:15" x14ac:dyDescent="0.25">
      <c r="A2" s="2" t="s">
        <v>75</v>
      </c>
      <c r="B2" s="3">
        <v>2017</v>
      </c>
      <c r="C2" s="4" t="str">
        <f>CONCATENATE(1,"/",$B$2)</f>
        <v>1/2017</v>
      </c>
      <c r="D2" s="4" t="str">
        <f>CONCATENATE(2,"/",$B$2)</f>
        <v>2/2017</v>
      </c>
      <c r="E2" s="4" t="str">
        <f>CONCATENATE(3,"/",$B$2)</f>
        <v>3/2017</v>
      </c>
      <c r="F2" s="4" t="str">
        <f>CONCATENATE(4,"/",$B$2)</f>
        <v>4/2017</v>
      </c>
      <c r="G2" s="4" t="str">
        <f>CONCATENATE(5,"/",$B$2)</f>
        <v>5/2017</v>
      </c>
      <c r="H2" s="4" t="str">
        <f>CONCATENATE(6,"/",$B$2)</f>
        <v>6/2017</v>
      </c>
      <c r="I2" s="4" t="str">
        <f>CONCATENATE(7,"/",$B$2)</f>
        <v>7/2017</v>
      </c>
      <c r="J2" s="4" t="str">
        <f>CONCATENATE(8,"/",$B$2)</f>
        <v>8/2017</v>
      </c>
      <c r="K2" s="4" t="str">
        <f>CONCATENATE(9,"/",$B$2)</f>
        <v>9/2017</v>
      </c>
      <c r="L2" s="4" t="str">
        <f>CONCATENATE(10,"/",$B$2)</f>
        <v>10/2017</v>
      </c>
      <c r="M2" s="4" t="str">
        <f>CONCATENATE(11,"/",$B$2)</f>
        <v>11/2017</v>
      </c>
      <c r="N2" s="4" t="str">
        <f>CONCATENATE(12,"/",$B$2)</f>
        <v>12/2017</v>
      </c>
      <c r="O2" s="5" t="s">
        <v>11</v>
      </c>
    </row>
    <row r="3" spans="1:15" x14ac:dyDescent="0.25">
      <c r="A3" s="6" t="s">
        <v>25</v>
      </c>
      <c r="B3" s="73">
        <f>VLOOKUP(A3,Planodecontas[],3,FALSE)</f>
        <v>8000</v>
      </c>
      <c r="C3" s="84">
        <f>IF(SUMIF(Lançamento!$A$2:$A$67,"="&amp;CONCATENATE(C$10,$A3),Lançamento!$D$2:$D$67) &lt;=0,IF(_xlfn.NUMBERVALUE(CONCATENATE(YEAR($A$10),MONTH($A$10)))&lt;_xlfn.NUMBERVALUE(CONCATENATE($B$2,MONTH(C$2))),VLOOKUP(Tabela5[[#This Row],[Coluna1]],Planodecontas[],3,FALSE),0), SUMIF(Lançamento!$A$2:$A$67,"="&amp;CONCATENATE(C$10,$A3),Lançamento!$D$2:$D$67))</f>
        <v>8000</v>
      </c>
      <c r="D3" s="84">
        <f ca="1">IF(SUMIF(Lançamento!$A$2:$A$67,"="&amp;CONCATENATE(D$10,$A3),Lançamento!$D$2:$D$67) &lt;=0,IF(_xlfn.NUMBERVALUE(CONCATENATE(YEAR($A$10),MONTH($A$10)))&lt;_xlfn.NUMBERVALUE(CONCATENATE($B$2,MONTH(D$2))),VLOOKUP(Tabela5[[#This Row],[Coluna1]],Planodecontas[],3,FALSE),0), SUMIF(Lançamento!$A$2:$A$67,"="&amp;CONCATENATE(D$10,$A3),Lançamento!$D$2:$D$67))</f>
        <v>0</v>
      </c>
      <c r="E3" s="84">
        <f ca="1">IF(SUMIF(Lançamento!$A$2:$A$67,"="&amp;CONCATENATE(E$10,$A3),Lançamento!$D$2:$D$67) &lt;=0,IF(_xlfn.NUMBERVALUE(CONCATENATE(YEAR($A$10),MONTH($A$10)))&lt;_xlfn.NUMBERVALUE(CONCATENATE($B$2,MONTH(E$2))),VLOOKUP(Tabela5[[#This Row],[Coluna1]],Planodecontas[],3,FALSE),0), SUMIF(Lançamento!$A$2:$A$67,"="&amp;CONCATENATE(E$10,$A3),Lançamento!$D$2:$D$67))</f>
        <v>0</v>
      </c>
      <c r="F3" s="84">
        <f ca="1">IF(SUMIF(Lançamento!$A$2:$A$67,"="&amp;CONCATENATE(F$10,$A3),Lançamento!$D$2:$D$67) &lt;=0,IF(_xlfn.NUMBERVALUE(CONCATENATE(YEAR($A$10),MONTH($A$10)))&lt;_xlfn.NUMBERVALUE(CONCATENATE($B$2,MONTH(F$2))),VLOOKUP(Tabela5[[#This Row],[Coluna1]],Planodecontas[],3,FALSE),0), SUMIF(Lançamento!$A$2:$A$67,"="&amp;CONCATENATE(F$10,$A3),Lançamento!$D$2:$D$67))</f>
        <v>0</v>
      </c>
      <c r="G3" s="84">
        <f ca="1">IF(SUMIF(Lançamento!$A$2:$A$67,"="&amp;CONCATENATE(G$10,$A3),Lançamento!$D$2:$D$67) &lt;=0,IF(_xlfn.NUMBERVALUE(CONCATENATE(YEAR($A$10),MONTH($A$10)))&lt;_xlfn.NUMBERVALUE(CONCATENATE($B$2,MONTH(G$2))),VLOOKUP(Tabela5[[#This Row],[Coluna1]],Planodecontas[],3,FALSE),0), SUMIF(Lançamento!$A$2:$A$67,"="&amp;CONCATENATE(G$10,$A3),Lançamento!$D$2:$D$67))</f>
        <v>8000</v>
      </c>
      <c r="H3" s="84">
        <f ca="1">IF(SUMIF(Lançamento!$A$2:$A$67,"="&amp;CONCATENATE(H$10,$A3),Lançamento!$D$2:$D$67) &lt;=0,IF(_xlfn.NUMBERVALUE(CONCATENATE(YEAR($A$10),MONTH($A$10)))&lt;_xlfn.NUMBERVALUE(CONCATENATE($B$2,MONTH(H$2))),VLOOKUP(Tabela5[[#This Row],[Coluna1]],Planodecontas[],3,FALSE),0), SUMIF(Lançamento!$A$2:$A$67,"="&amp;CONCATENATE(H$10,$A3),Lançamento!$D$2:$D$67))</f>
        <v>8000</v>
      </c>
      <c r="I3" s="84">
        <f ca="1">IF(SUMIF(Lançamento!$A$2:$A$67,"="&amp;CONCATENATE(I$10,$A3),Lançamento!$D$2:$D$67) &lt;=0,IF(_xlfn.NUMBERVALUE(CONCATENATE(YEAR($A$10),MONTH($A$10)))&lt;_xlfn.NUMBERVALUE(CONCATENATE($B$2,MONTH(I$2))),VLOOKUP(Tabela5[[#This Row],[Coluna1]],Planodecontas[],3,FALSE),0), SUMIF(Lançamento!$A$2:$A$67,"="&amp;CONCATENATE(I$10,$A3),Lançamento!$D$2:$D$67))</f>
        <v>8000</v>
      </c>
      <c r="J3" s="84">
        <f ca="1">IF(SUMIF(Lançamento!$A$2:$A$67,"="&amp;CONCATENATE(J$10,$A3),Lançamento!$D$2:$D$67) &lt;=0,IF(_xlfn.NUMBERVALUE(CONCATENATE(YEAR($A$10),MONTH($A$10)))&lt;_xlfn.NUMBERVALUE(CONCATENATE($B$2,MONTH(J$2))),VLOOKUP(Tabela5[[#This Row],[Coluna1]],Planodecontas[],3,FALSE),0), SUMIF(Lançamento!$A$2:$A$67,"="&amp;CONCATENATE(J$10,$A3),Lançamento!$D$2:$D$67))</f>
        <v>8000</v>
      </c>
      <c r="K3" s="84">
        <f ca="1">IF(SUMIF(Lançamento!$A$2:$A$67,"="&amp;CONCATENATE(K$10,$A3),Lançamento!$D$2:$D$67) &lt;=0,IF(_xlfn.NUMBERVALUE(CONCATENATE(YEAR($A$10),MONTH($A$10)))&lt;_xlfn.NUMBERVALUE(CONCATENATE($B$2,MONTH(K$2))),VLOOKUP(Tabela5[[#This Row],[Coluna1]],Planodecontas[],3,FALSE),0), SUMIF(Lançamento!$A$2:$A$67,"="&amp;CONCATENATE(K$10,$A3),Lançamento!$D$2:$D$67))</f>
        <v>8000</v>
      </c>
      <c r="L3" s="84">
        <f ca="1">IF(SUMIF(Lançamento!$A$2:$A$67,"="&amp;CONCATENATE(L$10,$A3),Lançamento!$D$2:$D$67) &lt;=0,IF(_xlfn.NUMBERVALUE(CONCATENATE(YEAR($A$10),MONTH($A$10)))&lt;_xlfn.NUMBERVALUE(CONCATENATE($B$2,MONTH(L$2))),VLOOKUP(Tabela5[[#This Row],[Coluna1]],Planodecontas[],3,FALSE),0), SUMIF(Lançamento!$A$2:$A$67,"="&amp;CONCATENATE(L$10,$A3),Lançamento!$D$2:$D$67))</f>
        <v>8000</v>
      </c>
      <c r="M3" s="84">
        <f ca="1">IF(SUMIF(Lançamento!$A$2:$A$67,"="&amp;CONCATENATE(M$10,$A3),Lançamento!$D$2:$D$67) &lt;=0,IF(_xlfn.NUMBERVALUE(CONCATENATE(YEAR($A$10),MONTH($A$10)))&lt;_xlfn.NUMBERVALUE(CONCATENATE($B$2,MONTH(M$2))),VLOOKUP(Tabela5[[#This Row],[Coluna1]],Planodecontas[],3,FALSE),0), SUMIF(Lançamento!$A$2:$A$67,"="&amp;CONCATENATE(M$10,$A3),Lançamento!$D$2:$D$67))</f>
        <v>8000</v>
      </c>
      <c r="N3" s="84">
        <f ca="1">IF(SUMIF(Lançamento!$A$2:$A$67,"="&amp;CONCATENATE(N$10,$A3),Lançamento!$D$2:$D$67) &lt;=0,IF(_xlfn.NUMBERVALUE(CONCATENATE(YEAR($A$10),MONTH($A$10)))&lt;_xlfn.NUMBERVALUE(CONCATENATE($B$2,MONTH(N$2))),VLOOKUP(Tabela5[[#This Row],[Coluna1]],Planodecontas[],3,FALSE),0), SUMIF(Lançamento!$A$2:$A$67,"="&amp;CONCATENATE(N$10,$A3),Lançamento!$D$2:$D$67))</f>
        <v>8000</v>
      </c>
      <c r="O3" s="7">
        <f ca="1">SUM(Tabela5[[#This Row],[Coluna3]:[Coluna15]])</f>
        <v>72000</v>
      </c>
    </row>
    <row r="4" spans="1:15" x14ac:dyDescent="0.25">
      <c r="A4" s="8" t="s">
        <v>26</v>
      </c>
      <c r="B4" s="74">
        <f>VLOOKUP(A4,Planodecontas[],3,FALSE)</f>
        <v>0</v>
      </c>
      <c r="C4" s="84">
        <f ca="1">IF(SUMIF(Lançamento!$A$2:$A$67,"="&amp;CONCATENATE(C$10,$A4),Lançamento!$D$2:$D$67) &lt;=0,IF(_xlfn.NUMBERVALUE(CONCATENATE(YEAR($A$10),MONTH($A$10)))&lt;_xlfn.NUMBERVALUE(CONCATENATE($B$2,MONTH(C$2))),VLOOKUP(Tabela5[[#This Row],[Coluna1]],Planodecontas[],3,FALSE),0), SUMIF(Lançamento!$A$2:$A$67,"="&amp;CONCATENATE(C$10,$A4),Lançamento!$D$2:$D$67))</f>
        <v>0</v>
      </c>
      <c r="D4" s="84">
        <f ca="1">IF(SUMIF(Lançamento!$A$2:$A$67,"="&amp;CONCATENATE(D$10,$A4),Lançamento!$D$2:$D$67) &lt;=0,IF(_xlfn.NUMBERVALUE(CONCATENATE(YEAR($A$10),MONTH($A$10)))&lt;_xlfn.NUMBERVALUE(CONCATENATE($B$2,MONTH(D$2))),VLOOKUP(Tabela5[[#This Row],[Coluna1]],Planodecontas[],3,FALSE),0), SUMIF(Lançamento!$A$2:$A$67,"="&amp;CONCATENATE(D$10,$A4),Lançamento!$D$2:$D$67))</f>
        <v>0</v>
      </c>
      <c r="E4" s="84">
        <f ca="1">IF(SUMIF(Lançamento!$A$2:$A$67,"="&amp;CONCATENATE(E$10,$A4),Lançamento!$D$2:$D$67) &lt;=0,IF(_xlfn.NUMBERVALUE(CONCATENATE(YEAR($A$10),MONTH($A$10)))&lt;_xlfn.NUMBERVALUE(CONCATENATE($B$2,MONTH(E$2))),VLOOKUP(Tabela5[[#This Row],[Coluna1]],Planodecontas[],3,FALSE),0), SUMIF(Lançamento!$A$2:$A$67,"="&amp;CONCATENATE(E$10,$A4),Lançamento!$D$2:$D$67))</f>
        <v>0</v>
      </c>
      <c r="F4" s="84">
        <f ca="1">IF(SUMIF(Lançamento!$A$2:$A$67,"="&amp;CONCATENATE(F$10,$A4),Lançamento!$D$2:$D$67) &lt;=0,IF(_xlfn.NUMBERVALUE(CONCATENATE(YEAR($A$10),MONTH($A$10)))&lt;_xlfn.NUMBERVALUE(CONCATENATE($B$2,MONTH(F$2))),VLOOKUP(Tabela5[[#This Row],[Coluna1]],Planodecontas[],3,FALSE),0), SUMIF(Lançamento!$A$2:$A$67,"="&amp;CONCATENATE(F$10,$A4),Lançamento!$D$2:$D$67))</f>
        <v>0</v>
      </c>
      <c r="G4" s="84">
        <f ca="1">IF(SUMIF(Lançamento!$A$2:$A$67,"="&amp;CONCATENATE(G$10,$A4),Lançamento!$D$2:$D$67) &lt;=0,IF(_xlfn.NUMBERVALUE(CONCATENATE(YEAR($A$10),MONTH($A$10)))&lt;_xlfn.NUMBERVALUE(CONCATENATE($B$2,MONTH(G$2))),VLOOKUP(Tabela5[[#This Row],[Coluna1]],Planodecontas[],3,FALSE),0), SUMIF(Lançamento!$A$2:$A$67,"="&amp;CONCATENATE(G$10,$A4),Lançamento!$D$2:$D$67))</f>
        <v>0</v>
      </c>
      <c r="H4" s="84">
        <f ca="1">IF(SUMIF(Lançamento!$A$2:$A$67,"="&amp;CONCATENATE(H$10,$A4),Lançamento!$D$2:$D$67) &lt;=0,IF(_xlfn.NUMBERVALUE(CONCATENATE(YEAR($A$10),MONTH($A$10)))&lt;_xlfn.NUMBERVALUE(CONCATENATE($B$2,MONTH(H$2))),VLOOKUP(Tabela5[[#This Row],[Coluna1]],Planodecontas[],3,FALSE),0), SUMIF(Lançamento!$A$2:$A$67,"="&amp;CONCATENATE(H$10,$A4),Lançamento!$D$2:$D$67))</f>
        <v>0</v>
      </c>
      <c r="I4" s="84">
        <f ca="1">IF(SUMIF(Lançamento!$A$2:$A$67,"="&amp;CONCATENATE(I$10,$A4),Lançamento!$D$2:$D$67) &lt;=0,IF(_xlfn.NUMBERVALUE(CONCATENATE(YEAR($A$10),MONTH($A$10)))&lt;_xlfn.NUMBERVALUE(CONCATENATE($B$2,MONTH(I$2))),VLOOKUP(Tabela5[[#This Row],[Coluna1]],Planodecontas[],3,FALSE),0), SUMIF(Lançamento!$A$2:$A$67,"="&amp;CONCATENATE(I$10,$A4),Lançamento!$D$2:$D$67))</f>
        <v>0</v>
      </c>
      <c r="J4" s="84">
        <f ca="1">IF(SUMIF(Lançamento!$A$2:$A$67,"="&amp;CONCATENATE(J$10,$A4),Lançamento!$D$2:$D$67) &lt;=0,IF(_xlfn.NUMBERVALUE(CONCATENATE(YEAR($A$10),MONTH($A$10)))&lt;_xlfn.NUMBERVALUE(CONCATENATE($B$2,MONTH(J$2))),VLOOKUP(Tabela5[[#This Row],[Coluna1]],Planodecontas[],3,FALSE),0), SUMIF(Lançamento!$A$2:$A$67,"="&amp;CONCATENATE(J$10,$A4),Lançamento!$D$2:$D$67))</f>
        <v>0</v>
      </c>
      <c r="K4" s="84">
        <f ca="1">IF(SUMIF(Lançamento!$A$2:$A$67,"="&amp;CONCATENATE(K$10,$A4),Lançamento!$D$2:$D$67) &lt;=0,IF(_xlfn.NUMBERVALUE(CONCATENATE(YEAR($A$10),MONTH($A$10)))&lt;_xlfn.NUMBERVALUE(CONCATENATE($B$2,MONTH(K$2))),VLOOKUP(Tabela5[[#This Row],[Coluna1]],Planodecontas[],3,FALSE),0), SUMIF(Lançamento!$A$2:$A$67,"="&amp;CONCATENATE(K$10,$A4),Lançamento!$D$2:$D$67))</f>
        <v>0</v>
      </c>
      <c r="L4" s="84">
        <f ca="1">IF(SUMIF(Lançamento!$A$2:$A$67,"="&amp;CONCATENATE(L$10,$A4),Lançamento!$D$2:$D$67) &lt;=0,IF(_xlfn.NUMBERVALUE(CONCATENATE(YEAR($A$10),MONTH($A$10)))&lt;_xlfn.NUMBERVALUE(CONCATENATE($B$2,MONTH(L$2))),VLOOKUP(Tabela5[[#This Row],[Coluna1]],Planodecontas[],3,FALSE),0), SUMIF(Lançamento!$A$2:$A$67,"="&amp;CONCATENATE(L$10,$A4),Lançamento!$D$2:$D$67))</f>
        <v>0</v>
      </c>
      <c r="M4" s="84">
        <f ca="1">IF(SUMIF(Lançamento!$A$2:$A$67,"="&amp;CONCATENATE(M$10,$A4),Lançamento!$D$2:$D$67) &lt;=0,IF(_xlfn.NUMBERVALUE(CONCATENATE(YEAR($A$10),MONTH($A$10)))&lt;_xlfn.NUMBERVALUE(CONCATENATE($B$2,MONTH(M$2))),VLOOKUP(Tabela5[[#This Row],[Coluna1]],Planodecontas[],3,FALSE),0), SUMIF(Lançamento!$A$2:$A$67,"="&amp;CONCATENATE(M$10,$A4),Lançamento!$D$2:$D$67))</f>
        <v>0</v>
      </c>
      <c r="N4" s="84">
        <f ca="1">IF(SUMIF(Lançamento!$A$2:$A$67,"="&amp;CONCATENATE(N$10,$A4),Lançamento!$D$2:$D$67) &lt;=0,IF(_xlfn.NUMBERVALUE(CONCATENATE(YEAR($A$10),MONTH($A$10)))&lt;_xlfn.NUMBERVALUE(CONCATENATE($B$2,MONTH(N$2))),VLOOKUP(Tabela5[[#This Row],[Coluna1]],Planodecontas[],3,FALSE),0), SUMIF(Lançamento!$A$2:$A$67,"="&amp;CONCATENATE(N$10,$A4),Lançamento!$D$2:$D$67))</f>
        <v>0</v>
      </c>
      <c r="O4" s="7">
        <f ca="1">SUM(Tabela5[[#This Row],[Coluna3]:[Coluna15]])</f>
        <v>0</v>
      </c>
    </row>
    <row r="5" spans="1:15" x14ac:dyDescent="0.25">
      <c r="A5" s="8" t="s">
        <v>76</v>
      </c>
      <c r="B5" s="74">
        <f>VLOOKUP(A5,Planodecontas[],3,FALSE)</f>
        <v>0</v>
      </c>
      <c r="C5" s="84">
        <f ca="1">IF(SUMIF(Lançamento!$A$2:$A$67,"="&amp;CONCATENATE(C$10,$A5),Lançamento!$D$2:$D$67) &lt;=0,IF(_xlfn.NUMBERVALUE(CONCATENATE(YEAR($A$10),MONTH($A$10)))&lt;_xlfn.NUMBERVALUE(CONCATENATE($B$2,MONTH(C$2))),VLOOKUP(Tabela5[[#This Row],[Coluna1]],Planodecontas[],3,FALSE),0), SUMIF(Lançamento!$A$2:$A$67,"="&amp;CONCATENATE(C$10,$A5),Lançamento!$D$2:$D$67))</f>
        <v>0</v>
      </c>
      <c r="D5" s="84">
        <f ca="1">IF(SUMIF(Lançamento!$A$2:$A$67,"="&amp;CONCATENATE(D$10,$A5),Lançamento!$D$2:$D$67) &lt;=0,IF(_xlfn.NUMBERVALUE(CONCATENATE(YEAR($A$10),MONTH($A$10)))&lt;_xlfn.NUMBERVALUE(CONCATENATE($B$2,MONTH(D$2))),VLOOKUP(Tabela5[[#This Row],[Coluna1]],Planodecontas[],3,FALSE),0), SUMIF(Lançamento!$A$2:$A$67,"="&amp;CONCATENATE(D$10,$A5),Lançamento!$D$2:$D$67))</f>
        <v>0</v>
      </c>
      <c r="E5" s="84">
        <f ca="1">IF(SUMIF(Lançamento!$A$2:$A$67,"="&amp;CONCATENATE(E$10,$A5),Lançamento!$D$2:$D$67) &lt;=0,IF(_xlfn.NUMBERVALUE(CONCATENATE(YEAR($A$10),MONTH($A$10)))&lt;_xlfn.NUMBERVALUE(CONCATENATE($B$2,MONTH(E$2))),VLOOKUP(Tabela5[[#This Row],[Coluna1]],Planodecontas[],3,FALSE),0), SUMIF(Lançamento!$A$2:$A$67,"="&amp;CONCATENATE(E$10,$A5),Lançamento!$D$2:$D$67))</f>
        <v>0</v>
      </c>
      <c r="F5" s="84">
        <f ca="1">IF(SUMIF(Lançamento!$A$2:$A$67,"="&amp;CONCATENATE(F$10,$A5),Lançamento!$D$2:$D$67) &lt;=0,IF(_xlfn.NUMBERVALUE(CONCATENATE(YEAR($A$10),MONTH($A$10)))&lt;_xlfn.NUMBERVALUE(CONCATENATE($B$2,MONTH(F$2))),VLOOKUP(Tabela5[[#This Row],[Coluna1]],Planodecontas[],3,FALSE),0), SUMIF(Lançamento!$A$2:$A$67,"="&amp;CONCATENATE(F$10,$A5),Lançamento!$D$2:$D$67))</f>
        <v>0</v>
      </c>
      <c r="G5" s="84">
        <f ca="1">IF(SUMIF(Lançamento!$A$2:$A$67,"="&amp;CONCATENATE(G$10,$A5),Lançamento!$D$2:$D$67) &lt;=0,IF(_xlfn.NUMBERVALUE(CONCATENATE(YEAR($A$10),MONTH($A$10)))&lt;_xlfn.NUMBERVALUE(CONCATENATE($B$2,MONTH(G$2))),VLOOKUP(Tabela5[[#This Row],[Coluna1]],Planodecontas[],3,FALSE),0), SUMIF(Lançamento!$A$2:$A$67,"="&amp;CONCATENATE(G$10,$A5),Lançamento!$D$2:$D$67))</f>
        <v>0</v>
      </c>
      <c r="H5" s="84">
        <f ca="1">IF(SUMIF(Lançamento!$A$2:$A$67,"="&amp;CONCATENATE(H$10,$A5),Lançamento!$D$2:$D$67) &lt;=0,IF(_xlfn.NUMBERVALUE(CONCATENATE(YEAR($A$10),MONTH($A$10)))&lt;_xlfn.NUMBERVALUE(CONCATENATE($B$2,MONTH(H$2))),VLOOKUP(Tabela5[[#This Row],[Coluna1]],Planodecontas[],3,FALSE),0), SUMIF(Lançamento!$A$2:$A$67,"="&amp;CONCATENATE(H$10,$A5),Lançamento!$D$2:$D$67))</f>
        <v>0</v>
      </c>
      <c r="I5" s="84">
        <f ca="1">IF(SUMIF(Lançamento!$A$2:$A$67,"="&amp;CONCATENATE(I$10,$A5),Lançamento!$D$2:$D$67) &lt;=0,IF(_xlfn.NUMBERVALUE(CONCATENATE(YEAR($A$10),MONTH($A$10)))&lt;_xlfn.NUMBERVALUE(CONCATENATE($B$2,MONTH(I$2))),VLOOKUP(Tabela5[[#This Row],[Coluna1]],Planodecontas[],3,FALSE),0), SUMIF(Lançamento!$A$2:$A$67,"="&amp;CONCATENATE(I$10,$A5),Lançamento!$D$2:$D$67))</f>
        <v>0</v>
      </c>
      <c r="J5" s="84">
        <f ca="1">IF(SUMIF(Lançamento!$A$2:$A$67,"="&amp;CONCATENATE(J$10,$A5),Lançamento!$D$2:$D$67) &lt;=0,IF(_xlfn.NUMBERVALUE(CONCATENATE(YEAR($A$10),MONTH($A$10)))&lt;_xlfn.NUMBERVALUE(CONCATENATE($B$2,MONTH(J$2))),VLOOKUP(Tabela5[[#This Row],[Coluna1]],Planodecontas[],3,FALSE),0), SUMIF(Lançamento!$A$2:$A$67,"="&amp;CONCATENATE(J$10,$A5),Lançamento!$D$2:$D$67))</f>
        <v>0</v>
      </c>
      <c r="K5" s="84">
        <f ca="1">IF(SUMIF(Lançamento!$A$2:$A$67,"="&amp;CONCATENATE(K$10,$A5),Lançamento!$D$2:$D$67) &lt;=0,IF(_xlfn.NUMBERVALUE(CONCATENATE(YEAR($A$10),MONTH($A$10)))&lt;_xlfn.NUMBERVALUE(CONCATENATE($B$2,MONTH(K$2))),VLOOKUP(Tabela5[[#This Row],[Coluna1]],Planodecontas[],3,FALSE),0), SUMIF(Lançamento!$A$2:$A$67,"="&amp;CONCATENATE(K$10,$A5),Lançamento!$D$2:$D$67))</f>
        <v>0</v>
      </c>
      <c r="L5" s="84">
        <f ca="1">IF(SUMIF(Lançamento!$A$2:$A$67,"="&amp;CONCATENATE(L$10,$A5),Lançamento!$D$2:$D$67) &lt;=0,IF(_xlfn.NUMBERVALUE(CONCATENATE(YEAR($A$10),MONTH($A$10)))&lt;_xlfn.NUMBERVALUE(CONCATENATE($B$2,MONTH(L$2))),VLOOKUP(Tabela5[[#This Row],[Coluna1]],Planodecontas[],3,FALSE),0), SUMIF(Lançamento!$A$2:$A$67,"="&amp;CONCATENATE(L$10,$A5),Lançamento!$D$2:$D$67))</f>
        <v>0</v>
      </c>
      <c r="M5" s="84">
        <f ca="1">IF(SUMIF(Lançamento!$A$2:$A$67,"="&amp;CONCATENATE(M$10,$A5),Lançamento!$D$2:$D$67) &lt;=0,IF(_xlfn.NUMBERVALUE(CONCATENATE(YEAR($A$10),MONTH($A$10)))&lt;_xlfn.NUMBERVALUE(CONCATENATE($B$2,MONTH(M$2))),VLOOKUP(Tabela5[[#This Row],[Coluna1]],Planodecontas[],3,FALSE),0), SUMIF(Lançamento!$A$2:$A$67,"="&amp;CONCATENATE(M$10,$A5),Lançamento!$D$2:$D$67))</f>
        <v>0</v>
      </c>
      <c r="N5" s="84">
        <f ca="1">IF(SUMIF(Lançamento!$A$2:$A$67,"="&amp;CONCATENATE(N$10,$A5),Lançamento!$D$2:$D$67) &lt;=0,IF(_xlfn.NUMBERVALUE(CONCATENATE(YEAR($A$10),MONTH($A$10)))&lt;_xlfn.NUMBERVALUE(CONCATENATE($B$2,MONTH(N$2))),VLOOKUP(Tabela5[[#This Row],[Coluna1]],Planodecontas[],3,FALSE),0), SUMIF(Lançamento!$A$2:$A$67,"="&amp;CONCATENATE(N$10,$A5),Lançamento!$D$2:$D$67))</f>
        <v>0</v>
      </c>
      <c r="O5" s="7">
        <f ca="1">SUM(Tabela5[[#This Row],[Coluna3]:[Coluna15]])</f>
        <v>0</v>
      </c>
    </row>
    <row r="6" spans="1:15" x14ac:dyDescent="0.25">
      <c r="A6" s="8" t="s">
        <v>81</v>
      </c>
      <c r="B6" s="9">
        <f>VLOOKUP(A6,Planodecontas[],3,FALSE)</f>
        <v>0</v>
      </c>
      <c r="C6" s="84">
        <f ca="1">IF(SUMIF(Lançamento!$A$2:$A$67,"="&amp;CONCATENATE(C$10,$A6),Lançamento!$D$2:$D$67) &lt;=0,IF(_xlfn.NUMBERVALUE(CONCATENATE(YEAR($A$10),MONTH($A$10)))&lt;_xlfn.NUMBERVALUE(CONCATENATE($B$2,MONTH(C$2))),VLOOKUP(Tabela5[[#This Row],[Coluna1]],Planodecontas[],3,FALSE),0), SUMIF(Lançamento!$A$2:$A$67,"="&amp;CONCATENATE(C$10,$A6),Lançamento!$D$2:$D$67))</f>
        <v>0</v>
      </c>
      <c r="D6" s="84">
        <f ca="1">IF(SUMIF(Lançamento!$A$2:$A$67,"="&amp;CONCATENATE(D$10,$A6),Lançamento!$D$2:$D$67) &lt;=0,IF(_xlfn.NUMBERVALUE(CONCATENATE(YEAR($A$10),MONTH($A$10)))&lt;_xlfn.NUMBERVALUE(CONCATENATE($B$2,MONTH(D$2))),VLOOKUP(Tabela5[[#This Row],[Coluna1]],Planodecontas[],3,FALSE),0), SUMIF(Lançamento!$A$2:$A$67,"="&amp;CONCATENATE(D$10,$A6),Lançamento!$D$2:$D$67))</f>
        <v>0</v>
      </c>
      <c r="E6" s="84">
        <f ca="1">IF(SUMIF(Lançamento!$A$2:$A$67,"="&amp;CONCATENATE(E$10,$A6),Lançamento!$D$2:$D$67) &lt;=0,IF(_xlfn.NUMBERVALUE(CONCATENATE(YEAR($A$10),MONTH($A$10)))&lt;_xlfn.NUMBERVALUE(CONCATENATE($B$2,MONTH(E$2))),VLOOKUP(Tabela5[[#This Row],[Coluna1]],Planodecontas[],3,FALSE),0), SUMIF(Lançamento!$A$2:$A$67,"="&amp;CONCATENATE(E$10,$A6),Lançamento!$D$2:$D$67))</f>
        <v>0</v>
      </c>
      <c r="F6" s="84">
        <f ca="1">IF(SUMIF(Lançamento!$A$2:$A$67,"="&amp;CONCATENATE(F$10,$A6),Lançamento!$D$2:$D$67) &lt;=0,IF(_xlfn.NUMBERVALUE(CONCATENATE(YEAR($A$10),MONTH($A$10)))&lt;_xlfn.NUMBERVALUE(CONCATENATE($B$2,MONTH(F$2))),VLOOKUP(Tabela5[[#This Row],[Coluna1]],Planodecontas[],3,FALSE),0), SUMIF(Lançamento!$A$2:$A$67,"="&amp;CONCATENATE(F$10,$A6),Lançamento!$D$2:$D$67))</f>
        <v>0</v>
      </c>
      <c r="G6" s="84">
        <f ca="1">IF(SUMIF(Lançamento!$A$2:$A$67,"="&amp;CONCATENATE(G$10,$A6),Lançamento!$D$2:$D$67) &lt;=0,IF(_xlfn.NUMBERVALUE(CONCATENATE(YEAR($A$10),MONTH($A$10)))&lt;_xlfn.NUMBERVALUE(CONCATENATE($B$2,MONTH(G$2))),VLOOKUP(Tabela5[[#This Row],[Coluna1]],Planodecontas[],3,FALSE),0), SUMIF(Lançamento!$A$2:$A$67,"="&amp;CONCATENATE(G$10,$A6),Lançamento!$D$2:$D$67))</f>
        <v>0</v>
      </c>
      <c r="H6" s="84">
        <f ca="1">IF(SUMIF(Lançamento!$A$2:$A$67,"="&amp;CONCATENATE(H$10,$A6),Lançamento!$D$2:$D$67) &lt;=0,IF(_xlfn.NUMBERVALUE(CONCATENATE(YEAR($A$10),MONTH($A$10)))&lt;_xlfn.NUMBERVALUE(CONCATENATE($B$2,MONTH(H$2))),VLOOKUP(Tabela5[[#This Row],[Coluna1]],Planodecontas[],3,FALSE),0), SUMIF(Lançamento!$A$2:$A$67,"="&amp;CONCATENATE(H$10,$A6),Lançamento!$D$2:$D$67))</f>
        <v>0</v>
      </c>
      <c r="I6" s="84">
        <f ca="1">IF(SUMIF(Lançamento!$A$2:$A$67,"="&amp;CONCATENATE(I$10,$A6),Lançamento!$D$2:$D$67) &lt;=0,IF(_xlfn.NUMBERVALUE(CONCATENATE(YEAR($A$10),MONTH($A$10)))&lt;_xlfn.NUMBERVALUE(CONCATENATE($B$2,MONTH(I$2))),VLOOKUP(Tabela5[[#This Row],[Coluna1]],Planodecontas[],3,FALSE),0), SUMIF(Lançamento!$A$2:$A$67,"="&amp;CONCATENATE(I$10,$A6),Lançamento!$D$2:$D$67))</f>
        <v>0</v>
      </c>
      <c r="J6" s="84">
        <f ca="1">IF(SUMIF(Lançamento!$A$2:$A$67,"="&amp;CONCATENATE(J$10,$A6),Lançamento!$D$2:$D$67) &lt;=0,IF(_xlfn.NUMBERVALUE(CONCATENATE(YEAR($A$10),MONTH($A$10)))&lt;_xlfn.NUMBERVALUE(CONCATENATE($B$2,MONTH(J$2))),VLOOKUP(Tabela5[[#This Row],[Coluna1]],Planodecontas[],3,FALSE),0), SUMIF(Lançamento!$A$2:$A$67,"="&amp;CONCATENATE(J$10,$A6),Lançamento!$D$2:$D$67))</f>
        <v>0</v>
      </c>
      <c r="K6" s="84">
        <f ca="1">IF(SUMIF(Lançamento!$A$2:$A$67,"="&amp;CONCATENATE(K$10,$A6),Lançamento!$D$2:$D$67) &lt;=0,IF(_xlfn.NUMBERVALUE(CONCATENATE(YEAR($A$10),MONTH($A$10)))&lt;_xlfn.NUMBERVALUE(CONCATENATE($B$2,MONTH(K$2))),VLOOKUP(Tabela5[[#This Row],[Coluna1]],Planodecontas[],3,FALSE),0), SUMIF(Lançamento!$A$2:$A$67,"="&amp;CONCATENATE(K$10,$A6),Lançamento!$D$2:$D$67))</f>
        <v>0</v>
      </c>
      <c r="L6" s="84">
        <f ca="1">IF(SUMIF(Lançamento!$A$2:$A$67,"="&amp;CONCATENATE(L$10,$A6),Lançamento!$D$2:$D$67) &lt;=0,IF(_xlfn.NUMBERVALUE(CONCATENATE(YEAR($A$10),MONTH($A$10)))&lt;_xlfn.NUMBERVALUE(CONCATENATE($B$2,MONTH(L$2))),VLOOKUP(Tabela5[[#This Row],[Coluna1]],Planodecontas[],3,FALSE),0), SUMIF(Lançamento!$A$2:$A$67,"="&amp;CONCATENATE(L$10,$A6),Lançamento!$D$2:$D$67))</f>
        <v>0</v>
      </c>
      <c r="M6" s="84">
        <f ca="1">IF(SUMIF(Lançamento!$A$2:$A$67,"="&amp;CONCATENATE(M$10,$A6),Lançamento!$D$2:$D$67) &lt;=0,IF(_xlfn.NUMBERVALUE(CONCATENATE(YEAR($A$10),MONTH($A$10)))&lt;_xlfn.NUMBERVALUE(CONCATENATE($B$2,MONTH(M$2))),VLOOKUP(Tabela5[[#This Row],[Coluna1]],Planodecontas[],3,FALSE),0), SUMIF(Lançamento!$A$2:$A$67,"="&amp;CONCATENATE(M$10,$A6),Lançamento!$D$2:$D$67))</f>
        <v>0</v>
      </c>
      <c r="N6" s="84">
        <f ca="1">IF(SUMIF(Lançamento!$A$2:$A$67,"="&amp;CONCATENATE(N$10,$A6),Lançamento!$D$2:$D$67) &lt;=0,IF(_xlfn.NUMBERVALUE(CONCATENATE(YEAR($A$10),MONTH($A$10)))&lt;_xlfn.NUMBERVALUE(CONCATENATE($B$2,MONTH(N$2))),VLOOKUP(Tabela5[[#This Row],[Coluna1]],Planodecontas[],3,FALSE),0), SUMIF(Lançamento!$A$2:$A$67,"="&amp;CONCATENATE(N$10,$A6),Lançamento!$D$2:$D$67))</f>
        <v>0</v>
      </c>
      <c r="O6" s="7">
        <f ca="1">SUM(Tabela5[[#This Row],[Coluna3]:[Coluna15]])</f>
        <v>0</v>
      </c>
    </row>
    <row r="7" spans="1:15" x14ac:dyDescent="0.25">
      <c r="A7" s="10" t="s">
        <v>77</v>
      </c>
      <c r="B7" s="11">
        <f>VLOOKUP(A7,Planodecontas[],3,FALSE)</f>
        <v>500</v>
      </c>
      <c r="C7" s="84">
        <f ca="1">IF(SUMIF(Lançamento!$A$2:$A$67,"="&amp;CONCATENATE(C$10,$A7),Lançamento!$D$2:$D$67) &lt;=0,IF(_xlfn.NUMBERVALUE(CONCATENATE(YEAR($A$10),MONTH($A$10)))&lt;_xlfn.NUMBERVALUE(CONCATENATE($B$2,MONTH(C$2))),VLOOKUP(Tabela5[[#This Row],[Coluna1]],Planodecontas[],3,FALSE),0), SUMIF(Lançamento!$A$2:$A$67,"="&amp;CONCATENATE(C$10,$A7),Lançamento!$D$2:$D$67))</f>
        <v>0</v>
      </c>
      <c r="D7" s="84">
        <f ca="1">IF(SUMIF(Lançamento!$A$2:$A$67,"="&amp;CONCATENATE(D$10,$A7),Lançamento!$D$2:$D$67) &lt;=0,IF(_xlfn.NUMBERVALUE(CONCATENATE(YEAR($A$10),MONTH($A$10)))&lt;_xlfn.NUMBERVALUE(CONCATENATE($B$2,MONTH(D$2))),VLOOKUP(Tabela5[[#This Row],[Coluna1]],Planodecontas[],3,FALSE),0), SUMIF(Lançamento!$A$2:$A$67,"="&amp;CONCATENATE(D$10,$A7),Lançamento!$D$2:$D$67))</f>
        <v>0</v>
      </c>
      <c r="E7" s="84">
        <f ca="1">IF(SUMIF(Lançamento!$A$2:$A$67,"="&amp;CONCATENATE(E$10,$A7),Lançamento!$D$2:$D$67) &lt;=0,IF(_xlfn.NUMBERVALUE(CONCATENATE(YEAR($A$10),MONTH($A$10)))&lt;_xlfn.NUMBERVALUE(CONCATENATE($B$2,MONTH(E$2))),VLOOKUP(Tabela5[[#This Row],[Coluna1]],Planodecontas[],3,FALSE),0), SUMIF(Lançamento!$A$2:$A$67,"="&amp;CONCATENATE(E$10,$A7),Lançamento!$D$2:$D$67))</f>
        <v>0</v>
      </c>
      <c r="F7" s="84">
        <f ca="1">IF(SUMIF(Lançamento!$A$2:$A$67,"="&amp;CONCATENATE(F$10,$A7),Lançamento!$D$2:$D$67) &lt;=0,IF(_xlfn.NUMBERVALUE(CONCATENATE(YEAR($A$10),MONTH($A$10)))&lt;_xlfn.NUMBERVALUE(CONCATENATE($B$2,MONTH(F$2))),VLOOKUP(Tabela5[[#This Row],[Coluna1]],Planodecontas[],3,FALSE),0), SUMIF(Lançamento!$A$2:$A$67,"="&amp;CONCATENATE(F$10,$A7),Lançamento!$D$2:$D$67))</f>
        <v>0</v>
      </c>
      <c r="G7" s="84">
        <f ca="1">IF(SUMIF(Lançamento!$A$2:$A$67,"="&amp;CONCATENATE(G$10,$A7),Lançamento!$D$2:$D$67) &lt;=0,IF(_xlfn.NUMBERVALUE(CONCATENATE(YEAR($A$10),MONTH($A$10)))&lt;_xlfn.NUMBERVALUE(CONCATENATE($B$2,MONTH(G$2))),VLOOKUP(Tabela5[[#This Row],[Coluna1]],Planodecontas[],3,FALSE),0), SUMIF(Lançamento!$A$2:$A$67,"="&amp;CONCATENATE(G$10,$A7),Lançamento!$D$2:$D$67))</f>
        <v>500</v>
      </c>
      <c r="H7" s="84">
        <f ca="1">IF(SUMIF(Lançamento!$A$2:$A$67,"="&amp;CONCATENATE(H$10,$A7),Lançamento!$D$2:$D$67) &lt;=0,IF(_xlfn.NUMBERVALUE(CONCATENATE(YEAR($A$10),MONTH($A$10)))&lt;_xlfn.NUMBERVALUE(CONCATENATE($B$2,MONTH(H$2))),VLOOKUP(Tabela5[[#This Row],[Coluna1]],Planodecontas[],3,FALSE),0), SUMIF(Lançamento!$A$2:$A$67,"="&amp;CONCATENATE(H$10,$A7),Lançamento!$D$2:$D$67))</f>
        <v>500</v>
      </c>
      <c r="I7" s="84">
        <f ca="1">IF(SUMIF(Lançamento!$A$2:$A$67,"="&amp;CONCATENATE(I$10,$A7),Lançamento!$D$2:$D$67) &lt;=0,IF(_xlfn.NUMBERVALUE(CONCATENATE(YEAR($A$10),MONTH($A$10)))&lt;_xlfn.NUMBERVALUE(CONCATENATE($B$2,MONTH(I$2))),VLOOKUP(Tabela5[[#This Row],[Coluna1]],Planodecontas[],3,FALSE),0), SUMIF(Lançamento!$A$2:$A$67,"="&amp;CONCATENATE(I$10,$A7),Lançamento!$D$2:$D$67))</f>
        <v>500</v>
      </c>
      <c r="J7" s="84">
        <f ca="1">IF(SUMIF(Lançamento!$A$2:$A$67,"="&amp;CONCATENATE(J$10,$A7),Lançamento!$D$2:$D$67) &lt;=0,IF(_xlfn.NUMBERVALUE(CONCATENATE(YEAR($A$10),MONTH($A$10)))&lt;_xlfn.NUMBERVALUE(CONCATENATE($B$2,MONTH(J$2))),VLOOKUP(Tabela5[[#This Row],[Coluna1]],Planodecontas[],3,FALSE),0), SUMIF(Lançamento!$A$2:$A$67,"="&amp;CONCATENATE(J$10,$A7),Lançamento!$D$2:$D$67))</f>
        <v>500</v>
      </c>
      <c r="K7" s="84">
        <f ca="1">IF(SUMIF(Lançamento!$A$2:$A$67,"="&amp;CONCATENATE(K$10,$A7),Lançamento!$D$2:$D$67) &lt;=0,IF(_xlfn.NUMBERVALUE(CONCATENATE(YEAR($A$10),MONTH($A$10)))&lt;_xlfn.NUMBERVALUE(CONCATENATE($B$2,MONTH(K$2))),VLOOKUP(Tabela5[[#This Row],[Coluna1]],Planodecontas[],3,FALSE),0), SUMIF(Lançamento!$A$2:$A$67,"="&amp;CONCATENATE(K$10,$A7),Lançamento!$D$2:$D$67))</f>
        <v>500</v>
      </c>
      <c r="L7" s="84">
        <f ca="1">IF(SUMIF(Lançamento!$A$2:$A$67,"="&amp;CONCATENATE(L$10,$A7),Lançamento!$D$2:$D$67) &lt;=0,IF(_xlfn.NUMBERVALUE(CONCATENATE(YEAR($A$10),MONTH($A$10)))&lt;_xlfn.NUMBERVALUE(CONCATENATE($B$2,MONTH(L$2))),VLOOKUP(Tabela5[[#This Row],[Coluna1]],Planodecontas[],3,FALSE),0), SUMIF(Lançamento!$A$2:$A$67,"="&amp;CONCATENATE(L$10,$A7),Lançamento!$D$2:$D$67))</f>
        <v>500</v>
      </c>
      <c r="M7" s="84">
        <f ca="1">IF(SUMIF(Lançamento!$A$2:$A$67,"="&amp;CONCATENATE(M$10,$A7),Lançamento!$D$2:$D$67) &lt;=0,IF(_xlfn.NUMBERVALUE(CONCATENATE(YEAR($A$10),MONTH($A$10)))&lt;_xlfn.NUMBERVALUE(CONCATENATE($B$2,MONTH(M$2))),VLOOKUP(Tabela5[[#This Row],[Coluna1]],Planodecontas[],3,FALSE),0), SUMIF(Lançamento!$A$2:$A$67,"="&amp;CONCATENATE(M$10,$A7),Lançamento!$D$2:$D$67))</f>
        <v>500</v>
      </c>
      <c r="N7" s="84">
        <f ca="1">IF(SUMIF(Lançamento!$A$2:$A$67,"="&amp;CONCATENATE(N$10,$A7),Lançamento!$D$2:$D$67) &lt;=0,IF(_xlfn.NUMBERVALUE(CONCATENATE(YEAR($A$10),MONTH($A$10)))&lt;_xlfn.NUMBERVALUE(CONCATENATE($B$2,MONTH(N$2))),VLOOKUP(Tabela5[[#This Row],[Coluna1]],Planodecontas[],3,FALSE),0), SUMIF(Lançamento!$A$2:$A$67,"="&amp;CONCATENATE(N$10,$A7),Lançamento!$D$2:$D$67))</f>
        <v>500</v>
      </c>
      <c r="O7" s="7">
        <f ca="1">SUM(Tabela5[[#This Row],[Coluna3]:[Coluna15]])</f>
        <v>4000</v>
      </c>
    </row>
    <row r="8" spans="1:15" x14ac:dyDescent="0.25">
      <c r="A8" s="12" t="s">
        <v>9</v>
      </c>
      <c r="B8" s="13">
        <f t="shared" ref="B8:O8" si="0">SUM(B3:B7)</f>
        <v>8500</v>
      </c>
      <c r="C8" s="13">
        <f t="shared" ca="1" si="0"/>
        <v>8000</v>
      </c>
      <c r="D8" s="13">
        <f ca="1">SUM(D3:D7)</f>
        <v>0</v>
      </c>
      <c r="E8" s="13">
        <f t="shared" ca="1" si="0"/>
        <v>0</v>
      </c>
      <c r="F8" s="13">
        <f t="shared" ca="1" si="0"/>
        <v>0</v>
      </c>
      <c r="G8" s="13">
        <f t="shared" ca="1" si="0"/>
        <v>8500</v>
      </c>
      <c r="H8" s="13">
        <f t="shared" ca="1" si="0"/>
        <v>8500</v>
      </c>
      <c r="I8" s="13">
        <f t="shared" ca="1" si="0"/>
        <v>8500</v>
      </c>
      <c r="J8" s="13">
        <f t="shared" ca="1" si="0"/>
        <v>8500</v>
      </c>
      <c r="K8" s="13">
        <f t="shared" ca="1" si="0"/>
        <v>8500</v>
      </c>
      <c r="L8" s="13">
        <f t="shared" ca="1" si="0"/>
        <v>8500</v>
      </c>
      <c r="M8" s="13">
        <f t="shared" ca="1" si="0"/>
        <v>8500</v>
      </c>
      <c r="N8" s="13">
        <f t="shared" ca="1" si="0"/>
        <v>8500</v>
      </c>
      <c r="O8" s="13">
        <f t="shared" ca="1" si="0"/>
        <v>76000</v>
      </c>
    </row>
    <row r="9" spans="1:15" ht="18" x14ac:dyDescent="0.25">
      <c r="A9" s="86" t="s">
        <v>10</v>
      </c>
      <c r="B9" s="87"/>
      <c r="C9" s="87"/>
      <c r="D9" s="87"/>
      <c r="E9" s="87"/>
      <c r="F9" s="87"/>
      <c r="G9" s="87"/>
      <c r="H9" s="87"/>
      <c r="I9" s="87"/>
      <c r="J9" s="87"/>
      <c r="K9" s="87"/>
      <c r="L9" s="87"/>
      <c r="M9" s="87"/>
      <c r="N9" s="87"/>
      <c r="O9" s="87"/>
    </row>
    <row r="10" spans="1:15" x14ac:dyDescent="0.25">
      <c r="A10" s="14">
        <f ca="1">TODAY()</f>
        <v>42852</v>
      </c>
      <c r="B10" s="15" t="s">
        <v>17</v>
      </c>
      <c r="C10" s="16" t="str">
        <f t="shared" ref="C10:O10" si="1">C2</f>
        <v>1/2017</v>
      </c>
      <c r="D10" s="16" t="str">
        <f t="shared" si="1"/>
        <v>2/2017</v>
      </c>
      <c r="E10" s="16" t="str">
        <f t="shared" si="1"/>
        <v>3/2017</v>
      </c>
      <c r="F10" s="16" t="str">
        <f t="shared" si="1"/>
        <v>4/2017</v>
      </c>
      <c r="G10" s="16" t="str">
        <f t="shared" si="1"/>
        <v>5/2017</v>
      </c>
      <c r="H10" s="16" t="str">
        <f t="shared" si="1"/>
        <v>6/2017</v>
      </c>
      <c r="I10" s="16" t="str">
        <f t="shared" si="1"/>
        <v>7/2017</v>
      </c>
      <c r="J10" s="16" t="str">
        <f t="shared" si="1"/>
        <v>8/2017</v>
      </c>
      <c r="K10" s="16" t="str">
        <f t="shared" si="1"/>
        <v>9/2017</v>
      </c>
      <c r="L10" s="16" t="str">
        <f t="shared" si="1"/>
        <v>10/2017</v>
      </c>
      <c r="M10" s="16" t="str">
        <f t="shared" si="1"/>
        <v>11/2017</v>
      </c>
      <c r="N10" s="16" t="str">
        <f t="shared" si="1"/>
        <v>12/2017</v>
      </c>
      <c r="O10" s="17" t="str">
        <f t="shared" si="1"/>
        <v>TOTAL</v>
      </c>
    </row>
    <row r="11" spans="1:15" x14ac:dyDescent="0.25">
      <c r="A11" s="18" t="s">
        <v>63</v>
      </c>
      <c r="B11" s="19">
        <f>VLOOKUP(A11,Planodecontas[],3,FALSE)</f>
        <v>1500</v>
      </c>
      <c r="C11" s="83">
        <f>IF(SUMIF(Lançamento!$A$2:$A$67,"="&amp;CONCATENATE(C$10,$A11),Lançamento!$D$2:$D$67) &lt;=0,IF(_xlfn.NUMBERVALUE(CONCATENATE(YEAR($A$10),MONTH($A$10)))&lt;_xlfn.NUMBERVALUE(CONCATENATE($B$2,MONTH(C$2))),VLOOKUP(Tabela6[[#This Row],[Coluna1]],Planodecontas[],3,FALSE),0), SUMIF(Lançamento!$A$2:$A$67,"="&amp;CONCATENATE(C$10,$A11),Lançamento!$D$2:$D$67))</f>
        <v>4294.51</v>
      </c>
      <c r="D11" s="83">
        <f ca="1">IF(SUMIF(Lançamento!$A$2:$A$67,"="&amp;CONCATENATE(D$10,$A11),Lançamento!$D$2:$D$67) &lt;=0,IF(_xlfn.NUMBERVALUE(CONCATENATE(YEAR($A$10),MONTH($A$10)))&lt;_xlfn.NUMBERVALUE(CONCATENATE($B$2,MONTH(D$2))),VLOOKUP(Tabela6[[#This Row],[Coluna1]],Planodecontas[],3,FALSE),0), SUMIF(Lançamento!$A$2:$A$67,"="&amp;CONCATENATE(D$10,$A11),Lançamento!$D$2:$D$67))</f>
        <v>0</v>
      </c>
      <c r="E11" s="83">
        <f ca="1">IF(SUMIF(Lançamento!$A$2:$A$67,"="&amp;CONCATENATE(E$10,$A11),Lançamento!$D$2:$D$67) &lt;=0,IF(_xlfn.NUMBERVALUE(CONCATENATE(YEAR($A$10),MONTH($A$10)))&lt;_xlfn.NUMBERVALUE(CONCATENATE($B$2,MONTH(E$2))),VLOOKUP(Tabela6[[#This Row],[Coluna1]],Planodecontas[],3,FALSE),0), SUMIF(Lançamento!$A$2:$A$67,"="&amp;CONCATENATE(E$10,$A11),Lançamento!$D$2:$D$67))</f>
        <v>0</v>
      </c>
      <c r="F11" s="83">
        <f ca="1">IF(SUMIF(Lançamento!$A$2:$A$67,"="&amp;CONCATENATE(F$10,$A11),Lançamento!$D$2:$D$67) &lt;=0,IF(_xlfn.NUMBERVALUE(CONCATENATE(YEAR($A$10),MONTH($A$10)))&lt;_xlfn.NUMBERVALUE(CONCATENATE($B$2,MONTH(F$2))),VLOOKUP(Tabela6[[#This Row],[Coluna1]],Planodecontas[],3,FALSE),0), SUMIF(Lançamento!$A$2:$A$67,"="&amp;CONCATENATE(F$10,$A11),Lançamento!$D$2:$D$67))</f>
        <v>0</v>
      </c>
      <c r="G11" s="83">
        <f ca="1">IF(SUMIF(Lançamento!$A$2:$A$67,"="&amp;CONCATENATE(G$10,$A11),Lançamento!$D$2:$D$67) &lt;=0,IF(_xlfn.NUMBERVALUE(CONCATENATE(YEAR($A$10),MONTH($A$10)))&lt;_xlfn.NUMBERVALUE(CONCATENATE($B$2,MONTH(G$2))),VLOOKUP(Tabela6[[#This Row],[Coluna1]],Planodecontas[],3,FALSE),0), SUMIF(Lançamento!$A$2:$A$67,"="&amp;CONCATENATE(G$10,$A11),Lançamento!$D$2:$D$67))</f>
        <v>1500</v>
      </c>
      <c r="H11" s="83">
        <f ca="1">IF(SUMIF(Lançamento!$A$2:$A$67,"="&amp;CONCATENATE(H$10,$A11),Lançamento!$D$2:$D$67) &lt;=0,IF(_xlfn.NUMBERVALUE(CONCATENATE(YEAR($A$10),MONTH($A$10)))&lt;_xlfn.NUMBERVALUE(CONCATENATE($B$2,MONTH(H$2))),VLOOKUP(Tabela6[[#This Row],[Coluna1]],Planodecontas[],3,FALSE),0), SUMIF(Lançamento!$A$2:$A$67,"="&amp;CONCATENATE(H$10,$A11),Lançamento!$D$2:$D$67))</f>
        <v>1500</v>
      </c>
      <c r="I11" s="83">
        <f ca="1">IF(SUMIF(Lançamento!$A$2:$A$67,"="&amp;CONCATENATE(I$10,$A11),Lançamento!$D$2:$D$67) &lt;=0,IF(_xlfn.NUMBERVALUE(CONCATENATE(YEAR($A$10),MONTH($A$10)))&lt;_xlfn.NUMBERVALUE(CONCATENATE($B$2,MONTH(I$2))),VLOOKUP(Tabela6[[#This Row],[Coluna1]],Planodecontas[],3,FALSE),0), SUMIF(Lançamento!$A$2:$A$67,"="&amp;CONCATENATE(I$10,$A11),Lançamento!$D$2:$D$67))</f>
        <v>1500</v>
      </c>
      <c r="J11" s="83">
        <f ca="1">IF(SUMIF(Lançamento!$A$2:$A$67,"="&amp;CONCATENATE(J$10,$A11),Lançamento!$D$2:$D$67) &lt;=0,IF(_xlfn.NUMBERVALUE(CONCATENATE(YEAR($A$10),MONTH($A$10)))&lt;_xlfn.NUMBERVALUE(CONCATENATE($B$2,MONTH(J$2))),VLOOKUP(Tabela6[[#This Row],[Coluna1]],Planodecontas[],3,FALSE),0), SUMIF(Lançamento!$A$2:$A$67,"="&amp;CONCATENATE(J$10,$A11),Lançamento!$D$2:$D$67))</f>
        <v>1500</v>
      </c>
      <c r="K11" s="83">
        <f ca="1">IF(SUMIF(Lançamento!$A$2:$A$67,"="&amp;CONCATENATE(K$10,$A11),Lançamento!$D$2:$D$67) &lt;=0,IF(_xlfn.NUMBERVALUE(CONCATENATE(YEAR($A$10),MONTH($A$10)))&lt;_xlfn.NUMBERVALUE(CONCATENATE($B$2,MONTH(K$2))),VLOOKUP(Tabela6[[#This Row],[Coluna1]],Planodecontas[],3,FALSE),0), SUMIF(Lançamento!$A$2:$A$67,"="&amp;CONCATENATE(K$10,$A11),Lançamento!$D$2:$D$67))</f>
        <v>1500</v>
      </c>
      <c r="L11" s="83">
        <f ca="1">IF(SUMIF(Lançamento!$A$2:$A$67,"="&amp;CONCATENATE(L$10,$A11),Lançamento!$D$2:$D$67) &lt;=0,IF(_xlfn.NUMBERVALUE(CONCATENATE(YEAR($A$10),MONTH($A$10)))&lt;_xlfn.NUMBERVALUE(CONCATENATE($B$2,MONTH(L$2))),VLOOKUP(Tabela6[[#This Row],[Coluna1]],Planodecontas[],3,FALSE),0), SUMIF(Lançamento!$A$2:$A$67,"="&amp;CONCATENATE(L$10,$A11),Lançamento!$D$2:$D$67))</f>
        <v>1500</v>
      </c>
      <c r="M11" s="83">
        <f ca="1">IF(SUMIF(Lançamento!$A$2:$A$67,"="&amp;CONCATENATE(M$10,$A11),Lançamento!$D$2:$D$67) &lt;=0,IF(_xlfn.NUMBERVALUE(CONCATENATE(YEAR($A$10),MONTH($A$10)))&lt;_xlfn.NUMBERVALUE(CONCATENATE($B$2,MONTH(M$2))),VLOOKUP(Tabela6[[#This Row],[Coluna1]],Planodecontas[],3,FALSE),0), SUMIF(Lançamento!$A$2:$A$67,"="&amp;CONCATENATE(M$10,$A11),Lançamento!$D$2:$D$67))</f>
        <v>1500</v>
      </c>
      <c r="N11" s="83">
        <f ca="1">IF(SUMIF(Lançamento!$A$2:$A$67,"="&amp;CONCATENATE(N$10,$A11),Lançamento!$D$2:$D$67) &lt;=0,IF(_xlfn.NUMBERVALUE(CONCATENATE(YEAR($A$10),MONTH($A$10)))&lt;_xlfn.NUMBERVALUE(CONCATENATE($B$2,MONTH(N$2))),VLOOKUP(Tabela6[[#This Row],[Coluna1]],Planodecontas[],3,FALSE),0), SUMIF(Lançamento!$A$2:$A$67,"="&amp;CONCATENATE(N$10,$A11),Lançamento!$D$2:$D$67))</f>
        <v>1500</v>
      </c>
      <c r="O11" s="20">
        <f ca="1">SUM(Tabela6[[#This Row],[Coluna3]:[Coluna14]])</f>
        <v>16294.51</v>
      </c>
    </row>
    <row r="12" spans="1:15" x14ac:dyDescent="0.25">
      <c r="A12" s="21" t="s">
        <v>1</v>
      </c>
      <c r="B12" s="22">
        <f>VLOOKUP(A12,Planodecontas[],3,FALSE)</f>
        <v>450</v>
      </c>
      <c r="C12" s="83">
        <f>IF(SUMIF(Lançamento!$A$2:$A$67,"="&amp;CONCATENATE(C$10,$A12),Lançamento!$D$2:$D$67) &lt;=0,IF(_xlfn.NUMBERVALUE(CONCATENATE(YEAR($A$10),MONTH($A$10)))&lt;_xlfn.NUMBERVALUE(CONCATENATE($B$2,MONTH(C$2))),VLOOKUP(Tabela6[[#This Row],[Coluna1]],Planodecontas[],3,FALSE),0), SUMIF(Lançamento!$A$2:$A$67,"="&amp;CONCATENATE(C$10,$A12),Lançamento!$D$2:$D$67))</f>
        <v>690</v>
      </c>
      <c r="D12" s="83">
        <f ca="1">IF(SUMIF(Lançamento!$A$2:$A$67,"="&amp;CONCATENATE(D$10,$A12),Lançamento!$D$2:$D$67) &lt;=0,IF(_xlfn.NUMBERVALUE(CONCATENATE(YEAR($A$10),MONTH($A$10)))&lt;_xlfn.NUMBERVALUE(CONCATENATE($B$2,MONTH(D$2))),VLOOKUP(Tabela6[[#This Row],[Coluna1]],Planodecontas[],3,FALSE),0), SUMIF(Lançamento!$A$2:$A$67,"="&amp;CONCATENATE(D$10,$A12),Lançamento!$D$2:$D$67))</f>
        <v>0</v>
      </c>
      <c r="E12" s="83">
        <f ca="1">IF(SUMIF(Lançamento!$A$2:$A$67,"="&amp;CONCATENATE(E$10,$A12),Lançamento!$D$2:$D$67) &lt;=0,IF(_xlfn.NUMBERVALUE(CONCATENATE(YEAR($A$10),MONTH($A$10)))&lt;_xlfn.NUMBERVALUE(CONCATENATE($B$2,MONTH(E$2))),VLOOKUP(Tabela6[[#This Row],[Coluna1]],Planodecontas[],3,FALSE),0), SUMIF(Lançamento!$A$2:$A$67,"="&amp;CONCATENATE(E$10,$A12),Lançamento!$D$2:$D$67))</f>
        <v>0</v>
      </c>
      <c r="F12" s="83">
        <f ca="1">IF(SUMIF(Lançamento!$A$2:$A$67,"="&amp;CONCATENATE(F$10,$A12),Lançamento!$D$2:$D$67) &lt;=0,IF(_xlfn.NUMBERVALUE(CONCATENATE(YEAR($A$10),MONTH($A$10)))&lt;_xlfn.NUMBERVALUE(CONCATENATE($B$2,MONTH(F$2))),VLOOKUP(Tabela6[[#This Row],[Coluna1]],Planodecontas[],3,FALSE),0), SUMIF(Lançamento!$A$2:$A$67,"="&amp;CONCATENATE(F$10,$A12),Lançamento!$D$2:$D$67))</f>
        <v>0</v>
      </c>
      <c r="G12" s="83">
        <f ca="1">IF(SUMIF(Lançamento!$A$2:$A$67,"="&amp;CONCATENATE(G$10,$A12),Lançamento!$D$2:$D$67) &lt;=0,IF(_xlfn.NUMBERVALUE(CONCATENATE(YEAR($A$10),MONTH($A$10)))&lt;_xlfn.NUMBERVALUE(CONCATENATE($B$2,MONTH(G$2))),VLOOKUP(Tabela6[[#This Row],[Coluna1]],Planodecontas[],3,FALSE),0), SUMIF(Lançamento!$A$2:$A$67,"="&amp;CONCATENATE(G$10,$A12),Lançamento!$D$2:$D$67))</f>
        <v>450</v>
      </c>
      <c r="H12" s="83">
        <f ca="1">IF(SUMIF(Lançamento!$A$2:$A$67,"="&amp;CONCATENATE(H$10,$A12),Lançamento!$D$2:$D$67) &lt;=0,IF(_xlfn.NUMBERVALUE(CONCATENATE(YEAR($A$10),MONTH($A$10)))&lt;_xlfn.NUMBERVALUE(CONCATENATE($B$2,MONTH(H$2))),VLOOKUP(Tabela6[[#This Row],[Coluna1]],Planodecontas[],3,FALSE),0), SUMIF(Lançamento!$A$2:$A$67,"="&amp;CONCATENATE(H$10,$A12),Lançamento!$D$2:$D$67))</f>
        <v>450</v>
      </c>
      <c r="I12" s="83">
        <f ca="1">IF(SUMIF(Lançamento!$A$2:$A$67,"="&amp;CONCATENATE(I$10,$A12),Lançamento!$D$2:$D$67) &lt;=0,IF(_xlfn.NUMBERVALUE(CONCATENATE(YEAR($A$10),MONTH($A$10)))&lt;_xlfn.NUMBERVALUE(CONCATENATE($B$2,MONTH(I$2))),VLOOKUP(Tabela6[[#This Row],[Coluna1]],Planodecontas[],3,FALSE),0), SUMIF(Lançamento!$A$2:$A$67,"="&amp;CONCATENATE(I$10,$A12),Lançamento!$D$2:$D$67))</f>
        <v>450</v>
      </c>
      <c r="J12" s="83">
        <f ca="1">IF(SUMIF(Lançamento!$A$2:$A$67,"="&amp;CONCATENATE(J$10,$A12),Lançamento!$D$2:$D$67) &lt;=0,IF(_xlfn.NUMBERVALUE(CONCATENATE(YEAR($A$10),MONTH($A$10)))&lt;_xlfn.NUMBERVALUE(CONCATENATE($B$2,MONTH(J$2))),VLOOKUP(Tabela6[[#This Row],[Coluna1]],Planodecontas[],3,FALSE),0), SUMIF(Lançamento!$A$2:$A$67,"="&amp;CONCATENATE(J$10,$A12),Lançamento!$D$2:$D$67))</f>
        <v>450</v>
      </c>
      <c r="K12" s="83">
        <f ca="1">IF(SUMIF(Lançamento!$A$2:$A$67,"="&amp;CONCATENATE(K$10,$A12),Lançamento!$D$2:$D$67) &lt;=0,IF(_xlfn.NUMBERVALUE(CONCATENATE(YEAR($A$10),MONTH($A$10)))&lt;_xlfn.NUMBERVALUE(CONCATENATE($B$2,MONTH(K$2))),VLOOKUP(Tabela6[[#This Row],[Coluna1]],Planodecontas[],3,FALSE),0), SUMIF(Lançamento!$A$2:$A$67,"="&amp;CONCATENATE(K$10,$A12),Lançamento!$D$2:$D$67))</f>
        <v>450</v>
      </c>
      <c r="L12" s="83">
        <f ca="1">IF(SUMIF(Lançamento!$A$2:$A$67,"="&amp;CONCATENATE(L$10,$A12),Lançamento!$D$2:$D$67) &lt;=0,IF(_xlfn.NUMBERVALUE(CONCATENATE(YEAR($A$10),MONTH($A$10)))&lt;_xlfn.NUMBERVALUE(CONCATENATE($B$2,MONTH(L$2))),VLOOKUP(Tabela6[[#This Row],[Coluna1]],Planodecontas[],3,FALSE),0), SUMIF(Lançamento!$A$2:$A$67,"="&amp;CONCATENATE(L$10,$A12),Lançamento!$D$2:$D$67))</f>
        <v>450</v>
      </c>
      <c r="M12" s="83">
        <f>IF(SUMIF(Lançamento!$A$2:$A$67,"="&amp;CONCATENATE(M$10,$A12),Lançamento!$D$2:$D$67) &lt;=0,IF(_xlfn.NUMBERVALUE(CONCATENATE(YEAR($A$10),MONTH($A$10)))&lt;_xlfn.NUMBERVALUE(CONCATENATE($B$2,MONTH(M$2))),VLOOKUP(Tabela6[[#This Row],[Coluna1]],Planodecontas[],3,FALSE),0), SUMIF(Lançamento!$A$2:$A$67,"="&amp;CONCATENATE(M$10,$A12),Lançamento!$D$2:$D$67))</f>
        <v>300</v>
      </c>
      <c r="N12" s="83">
        <f ca="1">IF(SUMIF(Lançamento!$A$2:$A$67,"="&amp;CONCATENATE(N$10,$A12),Lançamento!$D$2:$D$67) &lt;=0,IF(_xlfn.NUMBERVALUE(CONCATENATE(YEAR($A$10),MONTH($A$10)))&lt;_xlfn.NUMBERVALUE(CONCATENATE($B$2,MONTH(N$2))),VLOOKUP(Tabela6[[#This Row],[Coluna1]],Planodecontas[],3,FALSE),0), SUMIF(Lançamento!$A$2:$A$67,"="&amp;CONCATENATE(N$10,$A12),Lançamento!$D$2:$D$67))</f>
        <v>450</v>
      </c>
      <c r="O12" s="20">
        <f ca="1">SUM(Tabela6[[#This Row],[Coluna3]:[Coluna14]])</f>
        <v>4140</v>
      </c>
    </row>
    <row r="13" spans="1:15" x14ac:dyDescent="0.25">
      <c r="A13" s="21" t="s">
        <v>27</v>
      </c>
      <c r="B13" s="22">
        <f>VLOOKUP(A13,Planodecontas[],3,FALSE)</f>
        <v>0</v>
      </c>
      <c r="C13" s="83">
        <f ca="1">IF(SUMIF(Lançamento!$A$2:$A$67,"="&amp;CONCATENATE(C$10,$A13),Lançamento!$D$2:$D$67) &lt;=0,IF(_xlfn.NUMBERVALUE(CONCATENATE(YEAR($A$10),MONTH($A$10)))&lt;_xlfn.NUMBERVALUE(CONCATENATE($B$2,MONTH(C$2))),VLOOKUP(Tabela6[[#This Row],[Coluna1]],Planodecontas[],3,FALSE),0), SUMIF(Lançamento!$A$2:$A$67,"="&amp;CONCATENATE(C$10,$A13),Lançamento!$D$2:$D$67))</f>
        <v>0</v>
      </c>
      <c r="D13" s="83">
        <f ca="1">IF(SUMIF(Lançamento!$A$2:$A$67,"="&amp;CONCATENATE(D$10,$A13),Lançamento!$D$2:$D$67) &lt;=0,IF(_xlfn.NUMBERVALUE(CONCATENATE(YEAR($A$10),MONTH($A$10)))&lt;_xlfn.NUMBERVALUE(CONCATENATE($B$2,MONTH(D$2))),VLOOKUP(Tabela6[[#This Row],[Coluna1]],Planodecontas[],3,FALSE),0), SUMIF(Lançamento!$A$2:$A$67,"="&amp;CONCATENATE(D$10,$A13),Lançamento!$D$2:$D$67))</f>
        <v>0</v>
      </c>
      <c r="E13" s="83">
        <f ca="1">IF(SUMIF(Lançamento!$A$2:$A$67,"="&amp;CONCATENATE(E$10,$A13),Lançamento!$D$2:$D$67) &lt;=0,IF(_xlfn.NUMBERVALUE(CONCATENATE(YEAR($A$10),MONTH($A$10)))&lt;_xlfn.NUMBERVALUE(CONCATENATE($B$2,MONTH(E$2))),VLOOKUP(Tabela6[[#This Row],[Coluna1]],Planodecontas[],3,FALSE),0), SUMIF(Lançamento!$A$2:$A$67,"="&amp;CONCATENATE(E$10,$A13),Lançamento!$D$2:$D$67))</f>
        <v>0</v>
      </c>
      <c r="F13" s="83">
        <f ca="1">IF(SUMIF(Lançamento!$A$2:$A$67,"="&amp;CONCATENATE(F$10,$A13),Lançamento!$D$2:$D$67) &lt;=0,IF(_xlfn.NUMBERVALUE(CONCATENATE(YEAR($A$10),MONTH($A$10)))&lt;_xlfn.NUMBERVALUE(CONCATENATE($B$2,MONTH(F$2))),VLOOKUP(Tabela6[[#This Row],[Coluna1]],Planodecontas[],3,FALSE),0), SUMIF(Lançamento!$A$2:$A$67,"="&amp;CONCATENATE(F$10,$A13),Lançamento!$D$2:$D$67))</f>
        <v>0</v>
      </c>
      <c r="G13" s="83">
        <f ca="1">IF(SUMIF(Lançamento!$A$2:$A$67,"="&amp;CONCATENATE(G$10,$A13),Lançamento!$D$2:$D$67) &lt;=0,IF(_xlfn.NUMBERVALUE(CONCATENATE(YEAR($A$10),MONTH($A$10)))&lt;_xlfn.NUMBERVALUE(CONCATENATE($B$2,MONTH(G$2))),VLOOKUP(Tabela6[[#This Row],[Coluna1]],Planodecontas[],3,FALSE),0), SUMIF(Lançamento!$A$2:$A$67,"="&amp;CONCATENATE(G$10,$A13),Lançamento!$D$2:$D$67))</f>
        <v>0</v>
      </c>
      <c r="H13" s="83">
        <f ca="1">IF(SUMIF(Lançamento!$A$2:$A$67,"="&amp;CONCATENATE(H$10,$A13),Lançamento!$D$2:$D$67) &lt;=0,IF(_xlfn.NUMBERVALUE(CONCATENATE(YEAR($A$10),MONTH($A$10)))&lt;_xlfn.NUMBERVALUE(CONCATENATE($B$2,MONTH(H$2))),VLOOKUP(Tabela6[[#This Row],[Coluna1]],Planodecontas[],3,FALSE),0), SUMIF(Lançamento!$A$2:$A$67,"="&amp;CONCATENATE(H$10,$A13),Lançamento!$D$2:$D$67))</f>
        <v>0</v>
      </c>
      <c r="I13" s="83">
        <f ca="1">IF(SUMIF(Lançamento!$A$2:$A$67,"="&amp;CONCATENATE(I$10,$A13),Lançamento!$D$2:$D$67) &lt;=0,IF(_xlfn.NUMBERVALUE(CONCATENATE(YEAR($A$10),MONTH($A$10)))&lt;_xlfn.NUMBERVALUE(CONCATENATE($B$2,MONTH(I$2))),VLOOKUP(Tabela6[[#This Row],[Coluna1]],Planodecontas[],3,FALSE),0), SUMIF(Lançamento!$A$2:$A$67,"="&amp;CONCATENATE(I$10,$A13),Lançamento!$D$2:$D$67))</f>
        <v>0</v>
      </c>
      <c r="J13" s="83">
        <f ca="1">IF(SUMIF(Lançamento!$A$2:$A$67,"="&amp;CONCATENATE(J$10,$A13),Lançamento!$D$2:$D$67) &lt;=0,IF(_xlfn.NUMBERVALUE(CONCATENATE(YEAR($A$10),MONTH($A$10)))&lt;_xlfn.NUMBERVALUE(CONCATENATE($B$2,MONTH(J$2))),VLOOKUP(Tabela6[[#This Row],[Coluna1]],Planodecontas[],3,FALSE),0), SUMIF(Lançamento!$A$2:$A$67,"="&amp;CONCATENATE(J$10,$A13),Lançamento!$D$2:$D$67))</f>
        <v>0</v>
      </c>
      <c r="K13" s="83">
        <f ca="1">IF(SUMIF(Lançamento!$A$2:$A$67,"="&amp;CONCATENATE(K$10,$A13),Lançamento!$D$2:$D$67) &lt;=0,IF(_xlfn.NUMBERVALUE(CONCATENATE(YEAR($A$10),MONTH($A$10)))&lt;_xlfn.NUMBERVALUE(CONCATENATE($B$2,MONTH(K$2))),VLOOKUP(Tabela6[[#This Row],[Coluna1]],Planodecontas[],3,FALSE),0), SUMIF(Lançamento!$A$2:$A$67,"="&amp;CONCATENATE(K$10,$A13),Lançamento!$D$2:$D$67))</f>
        <v>0</v>
      </c>
      <c r="L13" s="83">
        <f ca="1">IF(SUMIF(Lançamento!$A$2:$A$67,"="&amp;CONCATENATE(L$10,$A13),Lançamento!$D$2:$D$67) &lt;=0,IF(_xlfn.NUMBERVALUE(CONCATENATE(YEAR($A$10),MONTH($A$10)))&lt;_xlfn.NUMBERVALUE(CONCATENATE($B$2,MONTH(L$2))),VLOOKUP(Tabela6[[#This Row],[Coluna1]],Planodecontas[],3,FALSE),0), SUMIF(Lançamento!$A$2:$A$67,"="&amp;CONCATENATE(L$10,$A13),Lançamento!$D$2:$D$67))</f>
        <v>0</v>
      </c>
      <c r="M13" s="83">
        <f ca="1">IF(SUMIF(Lançamento!$A$2:$A$67,"="&amp;CONCATENATE(M$10,$A13),Lançamento!$D$2:$D$67) &lt;=0,IF(_xlfn.NUMBERVALUE(CONCATENATE(YEAR($A$10),MONTH($A$10)))&lt;_xlfn.NUMBERVALUE(CONCATENATE($B$2,MONTH(M$2))),VLOOKUP(Tabela6[[#This Row],[Coluna1]],Planodecontas[],3,FALSE),0), SUMIF(Lançamento!$A$2:$A$67,"="&amp;CONCATENATE(M$10,$A13),Lançamento!$D$2:$D$67))</f>
        <v>0</v>
      </c>
      <c r="N13" s="83">
        <f ca="1">IF(SUMIF(Lançamento!$A$2:$A$67,"="&amp;CONCATENATE(N$10,$A13),Lançamento!$D$2:$D$67) &lt;=0,IF(_xlfn.NUMBERVALUE(CONCATENATE(YEAR($A$10),MONTH($A$10)))&lt;_xlfn.NUMBERVALUE(CONCATENATE($B$2,MONTH(N$2))),VLOOKUP(Tabela6[[#This Row],[Coluna1]],Planodecontas[],3,FALSE),0), SUMIF(Lançamento!$A$2:$A$67,"="&amp;CONCATENATE(N$10,$A13),Lançamento!$D$2:$D$67))</f>
        <v>0</v>
      </c>
      <c r="O13" s="20">
        <f ca="1">SUM(Tabela6[[#This Row],[Coluna3]:[Coluna14]])</f>
        <v>0</v>
      </c>
    </row>
    <row r="14" spans="1:15" x14ac:dyDescent="0.25">
      <c r="A14" s="21" t="s">
        <v>28</v>
      </c>
      <c r="B14" s="22">
        <f>VLOOKUP(A14,Planodecontas[],3,FALSE)</f>
        <v>98</v>
      </c>
      <c r="C14" s="83">
        <f>IF(SUMIF(Lançamento!$A$2:$A$67,"="&amp;CONCATENATE(C$10,$A14),Lançamento!$D$2:$D$67) &lt;=0,IF(_xlfn.NUMBERVALUE(CONCATENATE(YEAR($A$10),MONTH($A$10)))&lt;_xlfn.NUMBERVALUE(CONCATENATE($B$2,MONTH(C$2))),VLOOKUP(Tabela6[[#This Row],[Coluna1]],Planodecontas[],3,FALSE),0), SUMIF(Lançamento!$A$2:$A$67,"="&amp;CONCATENATE(C$10,$A14),Lançamento!$D$2:$D$67))</f>
        <v>98</v>
      </c>
      <c r="D14" s="83">
        <f ca="1">IF(SUMIF(Lançamento!$A$2:$A$67,"="&amp;CONCATENATE(D$10,$A14),Lançamento!$D$2:$D$67) &lt;=0,IF(_xlfn.NUMBERVALUE(CONCATENATE(YEAR($A$10),MONTH($A$10)))&lt;_xlfn.NUMBERVALUE(CONCATENATE($B$2,MONTH(D$2))),VLOOKUP(Tabela6[[#This Row],[Coluna1]],Planodecontas[],3,FALSE),0), SUMIF(Lançamento!$A$2:$A$67,"="&amp;CONCATENATE(D$10,$A14),Lançamento!$D$2:$D$67))</f>
        <v>0</v>
      </c>
      <c r="E14" s="83">
        <f ca="1">IF(SUMIF(Lançamento!$A$2:$A$67,"="&amp;CONCATENATE(E$10,$A14),Lançamento!$D$2:$D$67) &lt;=0,IF(_xlfn.NUMBERVALUE(CONCATENATE(YEAR($A$10),MONTH($A$10)))&lt;_xlfn.NUMBERVALUE(CONCATENATE($B$2,MONTH(E$2))),VLOOKUP(Tabela6[[#This Row],[Coluna1]],Planodecontas[],3,FALSE),0), SUMIF(Lançamento!$A$2:$A$67,"="&amp;CONCATENATE(E$10,$A14),Lançamento!$D$2:$D$67))</f>
        <v>0</v>
      </c>
      <c r="F14" s="83">
        <f ca="1">IF(SUMIF(Lançamento!$A$2:$A$67,"="&amp;CONCATENATE(F$10,$A14),Lançamento!$D$2:$D$67) &lt;=0,IF(_xlfn.NUMBERVALUE(CONCATENATE(YEAR($A$10),MONTH($A$10)))&lt;_xlfn.NUMBERVALUE(CONCATENATE($B$2,MONTH(F$2))),VLOOKUP(Tabela6[[#This Row],[Coluna1]],Planodecontas[],3,FALSE),0), SUMIF(Lançamento!$A$2:$A$67,"="&amp;CONCATENATE(F$10,$A14),Lançamento!$D$2:$D$67))</f>
        <v>0</v>
      </c>
      <c r="G14" s="83">
        <f ca="1">IF(SUMIF(Lançamento!$A$2:$A$67,"="&amp;CONCATENATE(G$10,$A14),Lançamento!$D$2:$D$67) &lt;=0,IF(_xlfn.NUMBERVALUE(CONCATENATE(YEAR($A$10),MONTH($A$10)))&lt;_xlfn.NUMBERVALUE(CONCATENATE($B$2,MONTH(G$2))),VLOOKUP(Tabela6[[#This Row],[Coluna1]],Planodecontas[],3,FALSE),0), SUMIF(Lançamento!$A$2:$A$67,"="&amp;CONCATENATE(G$10,$A14),Lançamento!$D$2:$D$67))</f>
        <v>98</v>
      </c>
      <c r="H14" s="83">
        <f ca="1">IF(SUMIF(Lançamento!$A$2:$A$67,"="&amp;CONCATENATE(H$10,$A14),Lançamento!$D$2:$D$67) &lt;=0,IF(_xlfn.NUMBERVALUE(CONCATENATE(YEAR($A$10),MONTH($A$10)))&lt;_xlfn.NUMBERVALUE(CONCATENATE($B$2,MONTH(H$2))),VLOOKUP(Tabela6[[#This Row],[Coluna1]],Planodecontas[],3,FALSE),0), SUMIF(Lançamento!$A$2:$A$67,"="&amp;CONCATENATE(H$10,$A14),Lançamento!$D$2:$D$67))</f>
        <v>98</v>
      </c>
      <c r="I14" s="83">
        <f ca="1">IF(SUMIF(Lançamento!$A$2:$A$67,"="&amp;CONCATENATE(I$10,$A14),Lançamento!$D$2:$D$67) &lt;=0,IF(_xlfn.NUMBERVALUE(CONCATENATE(YEAR($A$10),MONTH($A$10)))&lt;_xlfn.NUMBERVALUE(CONCATENATE($B$2,MONTH(I$2))),VLOOKUP(Tabela6[[#This Row],[Coluna1]],Planodecontas[],3,FALSE),0), SUMIF(Lançamento!$A$2:$A$67,"="&amp;CONCATENATE(I$10,$A14),Lançamento!$D$2:$D$67))</f>
        <v>98</v>
      </c>
      <c r="J14" s="83">
        <f ca="1">IF(SUMIF(Lançamento!$A$2:$A$67,"="&amp;CONCATENATE(J$10,$A14),Lançamento!$D$2:$D$67) &lt;=0,IF(_xlfn.NUMBERVALUE(CONCATENATE(YEAR($A$10),MONTH($A$10)))&lt;_xlfn.NUMBERVALUE(CONCATENATE($B$2,MONTH(J$2))),VLOOKUP(Tabela6[[#This Row],[Coluna1]],Planodecontas[],3,FALSE),0), SUMIF(Lançamento!$A$2:$A$67,"="&amp;CONCATENATE(J$10,$A14),Lançamento!$D$2:$D$67))</f>
        <v>98</v>
      </c>
      <c r="K14" s="83">
        <f ca="1">IF(SUMIF(Lançamento!$A$2:$A$67,"="&amp;CONCATENATE(K$10,$A14),Lançamento!$D$2:$D$67) &lt;=0,IF(_xlfn.NUMBERVALUE(CONCATENATE(YEAR($A$10),MONTH($A$10)))&lt;_xlfn.NUMBERVALUE(CONCATENATE($B$2,MONTH(K$2))),VLOOKUP(Tabela6[[#This Row],[Coluna1]],Planodecontas[],3,FALSE),0), SUMIF(Lançamento!$A$2:$A$67,"="&amp;CONCATENATE(K$10,$A14),Lançamento!$D$2:$D$67))</f>
        <v>98</v>
      </c>
      <c r="L14" s="83">
        <f ca="1">IF(SUMIF(Lançamento!$A$2:$A$67,"="&amp;CONCATENATE(L$10,$A14),Lançamento!$D$2:$D$67) &lt;=0,IF(_xlfn.NUMBERVALUE(CONCATENATE(YEAR($A$10),MONTH($A$10)))&lt;_xlfn.NUMBERVALUE(CONCATENATE($B$2,MONTH(L$2))),VLOOKUP(Tabela6[[#This Row],[Coluna1]],Planodecontas[],3,FALSE),0), SUMIF(Lançamento!$A$2:$A$67,"="&amp;CONCATENATE(L$10,$A14),Lançamento!$D$2:$D$67))</f>
        <v>98</v>
      </c>
      <c r="M14" s="83">
        <f ca="1">IF(SUMIF(Lançamento!$A$2:$A$67,"="&amp;CONCATENATE(M$10,$A14),Lançamento!$D$2:$D$67) &lt;=0,IF(_xlfn.NUMBERVALUE(CONCATENATE(YEAR($A$10),MONTH($A$10)))&lt;_xlfn.NUMBERVALUE(CONCATENATE($B$2,MONTH(M$2))),VLOOKUP(Tabela6[[#This Row],[Coluna1]],Planodecontas[],3,FALSE),0), SUMIF(Lançamento!$A$2:$A$67,"="&amp;CONCATENATE(M$10,$A14),Lançamento!$D$2:$D$67))</f>
        <v>98</v>
      </c>
      <c r="N14" s="83">
        <f ca="1">IF(SUMIF(Lançamento!$A$2:$A$67,"="&amp;CONCATENATE(N$10,$A14),Lançamento!$D$2:$D$67) &lt;=0,IF(_xlfn.NUMBERVALUE(CONCATENATE(YEAR($A$10),MONTH($A$10)))&lt;_xlfn.NUMBERVALUE(CONCATENATE($B$2,MONTH(N$2))),VLOOKUP(Tabela6[[#This Row],[Coluna1]],Planodecontas[],3,FALSE),0), SUMIF(Lançamento!$A$2:$A$67,"="&amp;CONCATENATE(N$10,$A14),Lançamento!$D$2:$D$67))</f>
        <v>98</v>
      </c>
      <c r="O14" s="20">
        <f ca="1">SUM(Tabela6[[#This Row],[Coluna3]:[Coluna14]])</f>
        <v>882</v>
      </c>
    </row>
    <row r="15" spans="1:15" x14ac:dyDescent="0.25">
      <c r="A15" s="21" t="s">
        <v>29</v>
      </c>
      <c r="B15" s="22">
        <f>VLOOKUP(A15,Planodecontas[],3,FALSE)</f>
        <v>120</v>
      </c>
      <c r="C15" s="83">
        <f>IF(SUMIF(Lançamento!$A$2:$A$67,"="&amp;CONCATENATE(C$10,$A15),Lançamento!$D$2:$D$67) &lt;=0,IF(_xlfn.NUMBERVALUE(CONCATENATE(YEAR($A$10),MONTH($A$10)))&lt;_xlfn.NUMBERVALUE(CONCATENATE($B$2,MONTH(C$2))),VLOOKUP(Tabela6[[#This Row],[Coluna1]],Planodecontas[],3,FALSE),0), SUMIF(Lançamento!$A$2:$A$67,"="&amp;CONCATENATE(C$10,$A15),Lançamento!$D$2:$D$67))</f>
        <v>100</v>
      </c>
      <c r="D15" s="83">
        <f ca="1">IF(SUMIF(Lançamento!$A$2:$A$67,"="&amp;CONCATENATE(D$10,$A15),Lançamento!$D$2:$D$67) &lt;=0,IF(_xlfn.NUMBERVALUE(CONCATENATE(YEAR($A$10),MONTH($A$10)))&lt;_xlfn.NUMBERVALUE(CONCATENATE($B$2,MONTH(D$2))),VLOOKUP(Tabela6[[#This Row],[Coluna1]],Planodecontas[],3,FALSE),0), SUMIF(Lançamento!$A$2:$A$67,"="&amp;CONCATENATE(D$10,$A15),Lançamento!$D$2:$D$67))</f>
        <v>0</v>
      </c>
      <c r="E15" s="83">
        <f ca="1">IF(SUMIF(Lançamento!$A$2:$A$67,"="&amp;CONCATENATE(E$10,$A15),Lançamento!$D$2:$D$67) &lt;=0,IF(_xlfn.NUMBERVALUE(CONCATENATE(YEAR($A$10),MONTH($A$10)))&lt;_xlfn.NUMBERVALUE(CONCATENATE($B$2,MONTH(E$2))),VLOOKUP(Tabela6[[#This Row],[Coluna1]],Planodecontas[],3,FALSE),0), SUMIF(Lançamento!$A$2:$A$67,"="&amp;CONCATENATE(E$10,$A15),Lançamento!$D$2:$D$67))</f>
        <v>0</v>
      </c>
      <c r="F15" s="83">
        <f ca="1">IF(SUMIF(Lançamento!$A$2:$A$67,"="&amp;CONCATENATE(F$10,$A15),Lançamento!$D$2:$D$67) &lt;=0,IF(_xlfn.NUMBERVALUE(CONCATENATE(YEAR($A$10),MONTH($A$10)))&lt;_xlfn.NUMBERVALUE(CONCATENATE($B$2,MONTH(F$2))),VLOOKUP(Tabela6[[#This Row],[Coluna1]],Planodecontas[],3,FALSE),0), SUMIF(Lançamento!$A$2:$A$67,"="&amp;CONCATENATE(F$10,$A15),Lançamento!$D$2:$D$67))</f>
        <v>0</v>
      </c>
      <c r="G15" s="83">
        <f ca="1">IF(SUMIF(Lançamento!$A$2:$A$67,"="&amp;CONCATENATE(G$10,$A15),Lançamento!$D$2:$D$67) &lt;=0,IF(_xlfn.NUMBERVALUE(CONCATENATE(YEAR($A$10),MONTH($A$10)))&lt;_xlfn.NUMBERVALUE(CONCATENATE($B$2,MONTH(G$2))),VLOOKUP(Tabela6[[#This Row],[Coluna1]],Planodecontas[],3,FALSE),0), SUMIF(Lançamento!$A$2:$A$67,"="&amp;CONCATENATE(G$10,$A15),Lançamento!$D$2:$D$67))</f>
        <v>120</v>
      </c>
      <c r="H15" s="83">
        <f ca="1">IF(SUMIF(Lançamento!$A$2:$A$67,"="&amp;CONCATENATE(H$10,$A15),Lançamento!$D$2:$D$67) &lt;=0,IF(_xlfn.NUMBERVALUE(CONCATENATE(YEAR($A$10),MONTH($A$10)))&lt;_xlfn.NUMBERVALUE(CONCATENATE($B$2,MONTH(H$2))),VLOOKUP(Tabela6[[#This Row],[Coluna1]],Planodecontas[],3,FALSE),0), SUMIF(Lançamento!$A$2:$A$67,"="&amp;CONCATENATE(H$10,$A15),Lançamento!$D$2:$D$67))</f>
        <v>120</v>
      </c>
      <c r="I15" s="83">
        <f ca="1">IF(SUMIF(Lançamento!$A$2:$A$67,"="&amp;CONCATENATE(I$10,$A15),Lançamento!$D$2:$D$67) &lt;=0,IF(_xlfn.NUMBERVALUE(CONCATENATE(YEAR($A$10),MONTH($A$10)))&lt;_xlfn.NUMBERVALUE(CONCATENATE($B$2,MONTH(I$2))),VLOOKUP(Tabela6[[#This Row],[Coluna1]],Planodecontas[],3,FALSE),0), SUMIF(Lançamento!$A$2:$A$67,"="&amp;CONCATENATE(I$10,$A15),Lançamento!$D$2:$D$67))</f>
        <v>120</v>
      </c>
      <c r="J15" s="83">
        <f ca="1">IF(SUMIF(Lançamento!$A$2:$A$67,"="&amp;CONCATENATE(J$10,$A15),Lançamento!$D$2:$D$67) &lt;=0,IF(_xlfn.NUMBERVALUE(CONCATENATE(YEAR($A$10),MONTH($A$10)))&lt;_xlfn.NUMBERVALUE(CONCATENATE($B$2,MONTH(J$2))),VLOOKUP(Tabela6[[#This Row],[Coluna1]],Planodecontas[],3,FALSE),0), SUMIF(Lançamento!$A$2:$A$67,"="&amp;CONCATENATE(J$10,$A15),Lançamento!$D$2:$D$67))</f>
        <v>120</v>
      </c>
      <c r="K15" s="83">
        <f ca="1">IF(SUMIF(Lançamento!$A$2:$A$67,"="&amp;CONCATENATE(K$10,$A15),Lançamento!$D$2:$D$67) &lt;=0,IF(_xlfn.NUMBERVALUE(CONCATENATE(YEAR($A$10),MONTH($A$10)))&lt;_xlfn.NUMBERVALUE(CONCATENATE($B$2,MONTH(K$2))),VLOOKUP(Tabela6[[#This Row],[Coluna1]],Planodecontas[],3,FALSE),0), SUMIF(Lançamento!$A$2:$A$67,"="&amp;CONCATENATE(K$10,$A15),Lançamento!$D$2:$D$67))</f>
        <v>120</v>
      </c>
      <c r="L15" s="83">
        <f ca="1">IF(SUMIF(Lançamento!$A$2:$A$67,"="&amp;CONCATENATE(L$10,$A15),Lançamento!$D$2:$D$67) &lt;=0,IF(_xlfn.NUMBERVALUE(CONCATENATE(YEAR($A$10),MONTH($A$10)))&lt;_xlfn.NUMBERVALUE(CONCATENATE($B$2,MONTH(L$2))),VLOOKUP(Tabela6[[#This Row],[Coluna1]],Planodecontas[],3,FALSE),0), SUMIF(Lançamento!$A$2:$A$67,"="&amp;CONCATENATE(L$10,$A15),Lançamento!$D$2:$D$67))</f>
        <v>120</v>
      </c>
      <c r="M15" s="83">
        <f ca="1">IF(SUMIF(Lançamento!$A$2:$A$67,"="&amp;CONCATENATE(M$10,$A15),Lançamento!$D$2:$D$67) &lt;=0,IF(_xlfn.NUMBERVALUE(CONCATENATE(YEAR($A$10),MONTH($A$10)))&lt;_xlfn.NUMBERVALUE(CONCATENATE($B$2,MONTH(M$2))),VLOOKUP(Tabela6[[#This Row],[Coluna1]],Planodecontas[],3,FALSE),0), SUMIF(Lançamento!$A$2:$A$67,"="&amp;CONCATENATE(M$10,$A15),Lançamento!$D$2:$D$67))</f>
        <v>120</v>
      </c>
      <c r="N15" s="83">
        <f ca="1">IF(SUMIF(Lançamento!$A$2:$A$67,"="&amp;CONCATENATE(N$10,$A15),Lançamento!$D$2:$D$67) &lt;=0,IF(_xlfn.NUMBERVALUE(CONCATENATE(YEAR($A$10),MONTH($A$10)))&lt;_xlfn.NUMBERVALUE(CONCATENATE($B$2,MONTH(N$2))),VLOOKUP(Tabela6[[#This Row],[Coluna1]],Planodecontas[],3,FALSE),0), SUMIF(Lançamento!$A$2:$A$67,"="&amp;CONCATENATE(N$10,$A15),Lançamento!$D$2:$D$67))</f>
        <v>120</v>
      </c>
      <c r="O15" s="20">
        <f ca="1">SUM(Tabela6[[#This Row],[Coluna3]:[Coluna14]])</f>
        <v>1060</v>
      </c>
    </row>
    <row r="16" spans="1:15" x14ac:dyDescent="0.25">
      <c r="A16" s="21" t="s">
        <v>30</v>
      </c>
      <c r="B16" s="22">
        <f>VLOOKUP(A16,Planodecontas[],3,FALSE)</f>
        <v>98</v>
      </c>
      <c r="C16" s="83">
        <f>IF(SUMIF(Lançamento!$A$2:$A$67,"="&amp;CONCATENATE(C$10,$A16),Lançamento!$D$2:$D$67) &lt;=0,IF(_xlfn.NUMBERVALUE(CONCATENATE(YEAR($A$10),MONTH($A$10)))&lt;_xlfn.NUMBERVALUE(CONCATENATE($B$2,MONTH(C$2))),VLOOKUP(Tabela6[[#This Row],[Coluna1]],Planodecontas[],3,FALSE),0), SUMIF(Lançamento!$A$2:$A$67,"="&amp;CONCATENATE(C$10,$A16),Lançamento!$D$2:$D$67))</f>
        <v>98</v>
      </c>
      <c r="D16" s="83">
        <f ca="1">IF(SUMIF(Lançamento!$A$2:$A$67,"="&amp;CONCATENATE(D$10,$A16),Lançamento!$D$2:$D$67) &lt;=0,IF(_xlfn.NUMBERVALUE(CONCATENATE(YEAR($A$10),MONTH($A$10)))&lt;_xlfn.NUMBERVALUE(CONCATENATE($B$2,MONTH(D$2))),VLOOKUP(Tabela6[[#This Row],[Coluna1]],Planodecontas[],3,FALSE),0), SUMIF(Lançamento!$A$2:$A$67,"="&amp;CONCATENATE(D$10,$A16),Lançamento!$D$2:$D$67))</f>
        <v>0</v>
      </c>
      <c r="E16" s="83">
        <f ca="1">IF(SUMIF(Lançamento!$A$2:$A$67,"="&amp;CONCATENATE(E$10,$A16),Lançamento!$D$2:$D$67) &lt;=0,IF(_xlfn.NUMBERVALUE(CONCATENATE(YEAR($A$10),MONTH($A$10)))&lt;_xlfn.NUMBERVALUE(CONCATENATE($B$2,MONTH(E$2))),VLOOKUP(Tabela6[[#This Row],[Coluna1]],Planodecontas[],3,FALSE),0), SUMIF(Lançamento!$A$2:$A$67,"="&amp;CONCATENATE(E$10,$A16),Lançamento!$D$2:$D$67))</f>
        <v>0</v>
      </c>
      <c r="F16" s="83">
        <f ca="1">IF(SUMIF(Lançamento!$A$2:$A$67,"="&amp;CONCATENATE(F$10,$A16),Lançamento!$D$2:$D$67) &lt;=0,IF(_xlfn.NUMBERVALUE(CONCATENATE(YEAR($A$10),MONTH($A$10)))&lt;_xlfn.NUMBERVALUE(CONCATENATE($B$2,MONTH(F$2))),VLOOKUP(Tabela6[[#This Row],[Coluna1]],Planodecontas[],3,FALSE),0), SUMIF(Lançamento!$A$2:$A$67,"="&amp;CONCATENATE(F$10,$A16),Lançamento!$D$2:$D$67))</f>
        <v>0</v>
      </c>
      <c r="G16" s="83">
        <f ca="1">IF(SUMIF(Lançamento!$A$2:$A$67,"="&amp;CONCATENATE(G$10,$A16),Lançamento!$D$2:$D$67) &lt;=0,IF(_xlfn.NUMBERVALUE(CONCATENATE(YEAR($A$10),MONTH($A$10)))&lt;_xlfn.NUMBERVALUE(CONCATENATE($B$2,MONTH(G$2))),VLOOKUP(Tabela6[[#This Row],[Coluna1]],Planodecontas[],3,FALSE),0), SUMIF(Lançamento!$A$2:$A$67,"="&amp;CONCATENATE(G$10,$A16),Lançamento!$D$2:$D$67))</f>
        <v>98</v>
      </c>
      <c r="H16" s="83">
        <f ca="1">IF(SUMIF(Lançamento!$A$2:$A$67,"="&amp;CONCATENATE(H$10,$A16),Lançamento!$D$2:$D$67) &lt;=0,IF(_xlfn.NUMBERVALUE(CONCATENATE(YEAR($A$10),MONTH($A$10)))&lt;_xlfn.NUMBERVALUE(CONCATENATE($B$2,MONTH(H$2))),VLOOKUP(Tabela6[[#This Row],[Coluna1]],Planodecontas[],3,FALSE),0), SUMIF(Lançamento!$A$2:$A$67,"="&amp;CONCATENATE(H$10,$A16),Lançamento!$D$2:$D$67))</f>
        <v>98</v>
      </c>
      <c r="I16" s="83">
        <f ca="1">IF(SUMIF(Lançamento!$A$2:$A$67,"="&amp;CONCATENATE(I$10,$A16),Lançamento!$D$2:$D$67) &lt;=0,IF(_xlfn.NUMBERVALUE(CONCATENATE(YEAR($A$10),MONTH($A$10)))&lt;_xlfn.NUMBERVALUE(CONCATENATE($B$2,MONTH(I$2))),VLOOKUP(Tabela6[[#This Row],[Coluna1]],Planodecontas[],3,FALSE),0), SUMIF(Lançamento!$A$2:$A$67,"="&amp;CONCATENATE(I$10,$A16),Lançamento!$D$2:$D$67))</f>
        <v>98</v>
      </c>
      <c r="J16" s="83">
        <f ca="1">IF(SUMIF(Lançamento!$A$2:$A$67,"="&amp;CONCATENATE(J$10,$A16),Lançamento!$D$2:$D$67) &lt;=0,IF(_xlfn.NUMBERVALUE(CONCATENATE(YEAR($A$10),MONTH($A$10)))&lt;_xlfn.NUMBERVALUE(CONCATENATE($B$2,MONTH(J$2))),VLOOKUP(Tabela6[[#This Row],[Coluna1]],Planodecontas[],3,FALSE),0), SUMIF(Lançamento!$A$2:$A$67,"="&amp;CONCATENATE(J$10,$A16),Lançamento!$D$2:$D$67))</f>
        <v>98</v>
      </c>
      <c r="K16" s="83">
        <f ca="1">IF(SUMIF(Lançamento!$A$2:$A$67,"="&amp;CONCATENATE(K$10,$A16),Lançamento!$D$2:$D$67) &lt;=0,IF(_xlfn.NUMBERVALUE(CONCATENATE(YEAR($A$10),MONTH($A$10)))&lt;_xlfn.NUMBERVALUE(CONCATENATE($B$2,MONTH(K$2))),VLOOKUP(Tabela6[[#This Row],[Coluna1]],Planodecontas[],3,FALSE),0), SUMIF(Lançamento!$A$2:$A$67,"="&amp;CONCATENATE(K$10,$A16),Lançamento!$D$2:$D$67))</f>
        <v>98</v>
      </c>
      <c r="L16" s="83">
        <f ca="1">IF(SUMIF(Lançamento!$A$2:$A$67,"="&amp;CONCATENATE(L$10,$A16),Lançamento!$D$2:$D$67) &lt;=0,IF(_xlfn.NUMBERVALUE(CONCATENATE(YEAR($A$10),MONTH($A$10)))&lt;_xlfn.NUMBERVALUE(CONCATENATE($B$2,MONTH(L$2))),VLOOKUP(Tabela6[[#This Row],[Coluna1]],Planodecontas[],3,FALSE),0), SUMIF(Lançamento!$A$2:$A$67,"="&amp;CONCATENATE(L$10,$A16),Lançamento!$D$2:$D$67))</f>
        <v>98</v>
      </c>
      <c r="M16" s="83">
        <f ca="1">IF(SUMIF(Lançamento!$A$2:$A$67,"="&amp;CONCATENATE(M$10,$A16),Lançamento!$D$2:$D$67) &lt;=0,IF(_xlfn.NUMBERVALUE(CONCATENATE(YEAR($A$10),MONTH($A$10)))&lt;_xlfn.NUMBERVALUE(CONCATENATE($B$2,MONTH(M$2))),VLOOKUP(Tabela6[[#This Row],[Coluna1]],Planodecontas[],3,FALSE),0), SUMIF(Lançamento!$A$2:$A$67,"="&amp;CONCATENATE(M$10,$A16),Lançamento!$D$2:$D$67))</f>
        <v>98</v>
      </c>
      <c r="N16" s="83">
        <f ca="1">IF(SUMIF(Lançamento!$A$2:$A$67,"="&amp;CONCATENATE(N$10,$A16),Lançamento!$D$2:$D$67) &lt;=0,IF(_xlfn.NUMBERVALUE(CONCATENATE(YEAR($A$10),MONTH($A$10)))&lt;_xlfn.NUMBERVALUE(CONCATENATE($B$2,MONTH(N$2))),VLOOKUP(Tabela6[[#This Row],[Coluna1]],Planodecontas[],3,FALSE),0), SUMIF(Lançamento!$A$2:$A$67,"="&amp;CONCATENATE(N$10,$A16),Lançamento!$D$2:$D$67))</f>
        <v>98</v>
      </c>
      <c r="O16" s="20">
        <f ca="1">SUM(Tabela6[[#This Row],[Coluna3]:[Coluna14]])</f>
        <v>882</v>
      </c>
    </row>
    <row r="17" spans="1:15" x14ac:dyDescent="0.25">
      <c r="A17" s="21" t="s">
        <v>62</v>
      </c>
      <c r="B17" s="22">
        <f>VLOOKUP(A17,Planodecontas[],3,FALSE)</f>
        <v>0</v>
      </c>
      <c r="C17" s="83">
        <f>IF(SUMIF(Lançamento!$A$2:$A$67,"="&amp;CONCATENATE(C$10,$A17),Lançamento!$D$2:$D$67) &lt;=0,IF(_xlfn.NUMBERVALUE(CONCATENATE(YEAR($A$10),MONTH($A$10)))&lt;_xlfn.NUMBERVALUE(CONCATENATE($B$2,MONTH(C$2))),VLOOKUP(Tabela6[[#This Row],[Coluna1]],Planodecontas[],3,FALSE),0), SUMIF(Lançamento!$A$2:$A$67,"="&amp;CONCATENATE(C$10,$A17),Lançamento!$D$2:$D$67))</f>
        <v>550</v>
      </c>
      <c r="D17" s="83">
        <f ca="1">IF(SUMIF(Lançamento!$A$2:$A$67,"="&amp;CONCATENATE(D$10,$A17),Lançamento!$D$2:$D$67) &lt;=0,IF(_xlfn.NUMBERVALUE(CONCATENATE(YEAR($A$10),MONTH($A$10)))&lt;_xlfn.NUMBERVALUE(CONCATENATE($B$2,MONTH(D$2))),VLOOKUP(Tabela6[[#This Row],[Coluna1]],Planodecontas[],3,FALSE),0), SUMIF(Lançamento!$A$2:$A$67,"="&amp;CONCATENATE(D$10,$A17),Lançamento!$D$2:$D$67))</f>
        <v>0</v>
      </c>
      <c r="E17" s="83">
        <f ca="1">IF(SUMIF(Lançamento!$A$2:$A$67,"="&amp;CONCATENATE(E$10,$A17),Lançamento!$D$2:$D$67) &lt;=0,IF(_xlfn.NUMBERVALUE(CONCATENATE(YEAR($A$10),MONTH($A$10)))&lt;_xlfn.NUMBERVALUE(CONCATENATE($B$2,MONTH(E$2))),VLOOKUP(Tabela6[[#This Row],[Coluna1]],Planodecontas[],3,FALSE),0), SUMIF(Lançamento!$A$2:$A$67,"="&amp;CONCATENATE(E$10,$A17),Lançamento!$D$2:$D$67))</f>
        <v>0</v>
      </c>
      <c r="F17" s="83">
        <f ca="1">IF(SUMIF(Lançamento!$A$2:$A$67,"="&amp;CONCATENATE(F$10,$A17),Lançamento!$D$2:$D$67) &lt;=0,IF(_xlfn.NUMBERVALUE(CONCATENATE(YEAR($A$10),MONTH($A$10)))&lt;_xlfn.NUMBERVALUE(CONCATENATE($B$2,MONTH(F$2))),VLOOKUP(Tabela6[[#This Row],[Coluna1]],Planodecontas[],3,FALSE),0), SUMIF(Lançamento!$A$2:$A$67,"="&amp;CONCATENATE(F$10,$A17),Lançamento!$D$2:$D$67))</f>
        <v>0</v>
      </c>
      <c r="G17" s="83">
        <f ca="1">IF(SUMIF(Lançamento!$A$2:$A$67,"="&amp;CONCATENATE(G$10,$A17),Lançamento!$D$2:$D$67) &lt;=0,IF(_xlfn.NUMBERVALUE(CONCATENATE(YEAR($A$10),MONTH($A$10)))&lt;_xlfn.NUMBERVALUE(CONCATENATE($B$2,MONTH(G$2))),VLOOKUP(Tabela6[[#This Row],[Coluna1]],Planodecontas[],3,FALSE),0), SUMIF(Lançamento!$A$2:$A$67,"="&amp;CONCATENATE(G$10,$A17),Lançamento!$D$2:$D$67))</f>
        <v>0</v>
      </c>
      <c r="H17" s="83">
        <f ca="1">IF(SUMIF(Lançamento!$A$2:$A$67,"="&amp;CONCATENATE(H$10,$A17),Lançamento!$D$2:$D$67) &lt;=0,IF(_xlfn.NUMBERVALUE(CONCATENATE(YEAR($A$10),MONTH($A$10)))&lt;_xlfn.NUMBERVALUE(CONCATENATE($B$2,MONTH(H$2))),VLOOKUP(Tabela6[[#This Row],[Coluna1]],Planodecontas[],3,FALSE),0), SUMIF(Lançamento!$A$2:$A$67,"="&amp;CONCATENATE(H$10,$A17),Lançamento!$D$2:$D$67))</f>
        <v>0</v>
      </c>
      <c r="I17" s="83">
        <f ca="1">IF(SUMIF(Lançamento!$A$2:$A$67,"="&amp;CONCATENATE(I$10,$A17),Lançamento!$D$2:$D$67) &lt;=0,IF(_xlfn.NUMBERVALUE(CONCATENATE(YEAR($A$10),MONTH($A$10)))&lt;_xlfn.NUMBERVALUE(CONCATENATE($B$2,MONTH(I$2))),VLOOKUP(Tabela6[[#This Row],[Coluna1]],Planodecontas[],3,FALSE),0), SUMIF(Lançamento!$A$2:$A$67,"="&amp;CONCATENATE(I$10,$A17),Lançamento!$D$2:$D$67))</f>
        <v>0</v>
      </c>
      <c r="J17" s="83">
        <f ca="1">IF(SUMIF(Lançamento!$A$2:$A$67,"="&amp;CONCATENATE(J$10,$A17),Lançamento!$D$2:$D$67) &lt;=0,IF(_xlfn.NUMBERVALUE(CONCATENATE(YEAR($A$10),MONTH($A$10)))&lt;_xlfn.NUMBERVALUE(CONCATENATE($B$2,MONTH(J$2))),VLOOKUP(Tabela6[[#This Row],[Coluna1]],Planodecontas[],3,FALSE),0), SUMIF(Lançamento!$A$2:$A$67,"="&amp;CONCATENATE(J$10,$A17),Lançamento!$D$2:$D$67))</f>
        <v>0</v>
      </c>
      <c r="K17" s="83">
        <f ca="1">IF(SUMIF(Lançamento!$A$2:$A$67,"="&amp;CONCATENATE(K$10,$A17),Lançamento!$D$2:$D$67) &lt;=0,IF(_xlfn.NUMBERVALUE(CONCATENATE(YEAR($A$10),MONTH($A$10)))&lt;_xlfn.NUMBERVALUE(CONCATENATE($B$2,MONTH(K$2))),VLOOKUP(Tabela6[[#This Row],[Coluna1]],Planodecontas[],3,FALSE),0), SUMIF(Lançamento!$A$2:$A$67,"="&amp;CONCATENATE(K$10,$A17),Lançamento!$D$2:$D$67))</f>
        <v>0</v>
      </c>
      <c r="L17" s="83">
        <f ca="1">IF(SUMIF(Lançamento!$A$2:$A$67,"="&amp;CONCATENATE(L$10,$A17),Lançamento!$D$2:$D$67) &lt;=0,IF(_xlfn.NUMBERVALUE(CONCATENATE(YEAR($A$10),MONTH($A$10)))&lt;_xlfn.NUMBERVALUE(CONCATENATE($B$2,MONTH(L$2))),VLOOKUP(Tabela6[[#This Row],[Coluna1]],Planodecontas[],3,FALSE),0), SUMIF(Lançamento!$A$2:$A$67,"="&amp;CONCATENATE(L$10,$A17),Lançamento!$D$2:$D$67))</f>
        <v>0</v>
      </c>
      <c r="M17" s="83">
        <f ca="1">IF(SUMIF(Lançamento!$A$2:$A$67,"="&amp;CONCATENATE(M$10,$A17),Lançamento!$D$2:$D$67) &lt;=0,IF(_xlfn.NUMBERVALUE(CONCATENATE(YEAR($A$10),MONTH($A$10)))&lt;_xlfn.NUMBERVALUE(CONCATENATE($B$2,MONTH(M$2))),VLOOKUP(Tabela6[[#This Row],[Coluna1]],Planodecontas[],3,FALSE),0), SUMIF(Lançamento!$A$2:$A$67,"="&amp;CONCATENATE(M$10,$A17),Lançamento!$D$2:$D$67))</f>
        <v>0</v>
      </c>
      <c r="N17" s="83">
        <f ca="1">IF(SUMIF(Lançamento!$A$2:$A$67,"="&amp;CONCATENATE(N$10,$A17),Lançamento!$D$2:$D$67) &lt;=0,IF(_xlfn.NUMBERVALUE(CONCATENATE(YEAR($A$10),MONTH($A$10)))&lt;_xlfn.NUMBERVALUE(CONCATENATE($B$2,MONTH(N$2))),VLOOKUP(Tabela6[[#This Row],[Coluna1]],Planodecontas[],3,FALSE),0), SUMIF(Lançamento!$A$2:$A$67,"="&amp;CONCATENATE(N$10,$A17),Lançamento!$D$2:$D$67))</f>
        <v>0</v>
      </c>
      <c r="O17" s="20">
        <f ca="1">SUM(Tabela6[[#This Row],[Coluna3]:[Coluna14]])</f>
        <v>550</v>
      </c>
    </row>
    <row r="18" spans="1:15" x14ac:dyDescent="0.25">
      <c r="A18" s="21" t="s">
        <v>31</v>
      </c>
      <c r="B18" s="22">
        <f>VLOOKUP(A18,Planodecontas[],3,FALSE)</f>
        <v>75</v>
      </c>
      <c r="C18" s="83">
        <f>IF(SUMIF(Lançamento!$A$2:$A$67,"="&amp;CONCATENATE(C$10,$A18),Lançamento!$D$2:$D$67) &lt;=0,IF(_xlfn.NUMBERVALUE(CONCATENATE(YEAR($A$10),MONTH($A$10)))&lt;_xlfn.NUMBERVALUE(CONCATENATE($B$2,MONTH(C$2))),VLOOKUP(Tabela6[[#This Row],[Coluna1]],Planodecontas[],3,FALSE),0), SUMIF(Lançamento!$A$2:$A$67,"="&amp;CONCATENATE(C$10,$A18),Lançamento!$D$2:$D$67))</f>
        <v>290</v>
      </c>
      <c r="D18" s="83">
        <f ca="1">IF(SUMIF(Lançamento!$A$2:$A$67,"="&amp;CONCATENATE(D$10,$A18),Lançamento!$D$2:$D$67) &lt;=0,IF(_xlfn.NUMBERVALUE(CONCATENATE(YEAR($A$10),MONTH($A$10)))&lt;_xlfn.NUMBERVALUE(CONCATENATE($B$2,MONTH(D$2))),VLOOKUP(Tabela6[[#This Row],[Coluna1]],Planodecontas[],3,FALSE),0), SUMIF(Lançamento!$A$2:$A$67,"="&amp;CONCATENATE(D$10,$A18),Lançamento!$D$2:$D$67))</f>
        <v>0</v>
      </c>
      <c r="E18" s="83">
        <f ca="1">IF(SUMIF(Lançamento!$A$2:$A$67,"="&amp;CONCATENATE(E$10,$A18),Lançamento!$D$2:$D$67) &lt;=0,IF(_xlfn.NUMBERVALUE(CONCATENATE(YEAR($A$10),MONTH($A$10)))&lt;_xlfn.NUMBERVALUE(CONCATENATE($B$2,MONTH(E$2))),VLOOKUP(Tabela6[[#This Row],[Coluna1]],Planodecontas[],3,FALSE),0), SUMIF(Lançamento!$A$2:$A$67,"="&amp;CONCATENATE(E$10,$A18),Lançamento!$D$2:$D$67))</f>
        <v>0</v>
      </c>
      <c r="F18" s="83">
        <f ca="1">IF(SUMIF(Lançamento!$A$2:$A$67,"="&amp;CONCATENATE(F$10,$A18),Lançamento!$D$2:$D$67) &lt;=0,IF(_xlfn.NUMBERVALUE(CONCATENATE(YEAR($A$10),MONTH($A$10)))&lt;_xlfn.NUMBERVALUE(CONCATENATE($B$2,MONTH(F$2))),VLOOKUP(Tabela6[[#This Row],[Coluna1]],Planodecontas[],3,FALSE),0), SUMIF(Lançamento!$A$2:$A$67,"="&amp;CONCATENATE(F$10,$A18),Lançamento!$D$2:$D$67))</f>
        <v>0</v>
      </c>
      <c r="G18" s="83">
        <f ca="1">IF(SUMIF(Lançamento!$A$2:$A$67,"="&amp;CONCATENATE(G$10,$A18),Lançamento!$D$2:$D$67) &lt;=0,IF(_xlfn.NUMBERVALUE(CONCATENATE(YEAR($A$10),MONTH($A$10)))&lt;_xlfn.NUMBERVALUE(CONCATENATE($B$2,MONTH(G$2))),VLOOKUP(Tabela6[[#This Row],[Coluna1]],Planodecontas[],3,FALSE),0), SUMIF(Lançamento!$A$2:$A$67,"="&amp;CONCATENATE(G$10,$A18),Lançamento!$D$2:$D$67))</f>
        <v>75</v>
      </c>
      <c r="H18" s="83">
        <f ca="1">IF(SUMIF(Lançamento!$A$2:$A$67,"="&amp;CONCATENATE(H$10,$A18),Lançamento!$D$2:$D$67) &lt;=0,IF(_xlfn.NUMBERVALUE(CONCATENATE(YEAR($A$10),MONTH($A$10)))&lt;_xlfn.NUMBERVALUE(CONCATENATE($B$2,MONTH(H$2))),VLOOKUP(Tabela6[[#This Row],[Coluna1]],Planodecontas[],3,FALSE),0), SUMIF(Lançamento!$A$2:$A$67,"="&amp;CONCATENATE(H$10,$A18),Lançamento!$D$2:$D$67))</f>
        <v>75</v>
      </c>
      <c r="I18" s="83">
        <f ca="1">IF(SUMIF(Lançamento!$A$2:$A$67,"="&amp;CONCATENATE(I$10,$A18),Lançamento!$D$2:$D$67) &lt;=0,IF(_xlfn.NUMBERVALUE(CONCATENATE(YEAR($A$10),MONTH($A$10)))&lt;_xlfn.NUMBERVALUE(CONCATENATE($B$2,MONTH(I$2))),VLOOKUP(Tabela6[[#This Row],[Coluna1]],Planodecontas[],3,FALSE),0), SUMIF(Lançamento!$A$2:$A$67,"="&amp;CONCATENATE(I$10,$A18),Lançamento!$D$2:$D$67))</f>
        <v>75</v>
      </c>
      <c r="J18" s="83">
        <f ca="1">IF(SUMIF(Lançamento!$A$2:$A$67,"="&amp;CONCATENATE(J$10,$A18),Lançamento!$D$2:$D$67) &lt;=0,IF(_xlfn.NUMBERVALUE(CONCATENATE(YEAR($A$10),MONTH($A$10)))&lt;_xlfn.NUMBERVALUE(CONCATENATE($B$2,MONTH(J$2))),VLOOKUP(Tabela6[[#This Row],[Coluna1]],Planodecontas[],3,FALSE),0), SUMIF(Lançamento!$A$2:$A$67,"="&amp;CONCATENATE(J$10,$A18),Lançamento!$D$2:$D$67))</f>
        <v>75</v>
      </c>
      <c r="K18" s="83">
        <f ca="1">IF(SUMIF(Lançamento!$A$2:$A$67,"="&amp;CONCATENATE(K$10,$A18),Lançamento!$D$2:$D$67) &lt;=0,IF(_xlfn.NUMBERVALUE(CONCATENATE(YEAR($A$10),MONTH($A$10)))&lt;_xlfn.NUMBERVALUE(CONCATENATE($B$2,MONTH(K$2))),VLOOKUP(Tabela6[[#This Row],[Coluna1]],Planodecontas[],3,FALSE),0), SUMIF(Lançamento!$A$2:$A$67,"="&amp;CONCATENATE(K$10,$A18),Lançamento!$D$2:$D$67))</f>
        <v>75</v>
      </c>
      <c r="L18" s="83">
        <f ca="1">IF(SUMIF(Lançamento!$A$2:$A$67,"="&amp;CONCATENATE(L$10,$A18),Lançamento!$D$2:$D$67) &lt;=0,IF(_xlfn.NUMBERVALUE(CONCATENATE(YEAR($A$10),MONTH($A$10)))&lt;_xlfn.NUMBERVALUE(CONCATENATE($B$2,MONTH(L$2))),VLOOKUP(Tabela6[[#This Row],[Coluna1]],Planodecontas[],3,FALSE),0), SUMIF(Lançamento!$A$2:$A$67,"="&amp;CONCATENATE(L$10,$A18),Lançamento!$D$2:$D$67))</f>
        <v>75</v>
      </c>
      <c r="M18" s="83">
        <f ca="1">IF(SUMIF(Lançamento!$A$2:$A$67,"="&amp;CONCATENATE(M$10,$A18),Lançamento!$D$2:$D$67) &lt;=0,IF(_xlfn.NUMBERVALUE(CONCATENATE(YEAR($A$10),MONTH($A$10)))&lt;_xlfn.NUMBERVALUE(CONCATENATE($B$2,MONTH(M$2))),VLOOKUP(Tabela6[[#This Row],[Coluna1]],Planodecontas[],3,FALSE),0), SUMIF(Lançamento!$A$2:$A$67,"="&amp;CONCATENATE(M$10,$A18),Lançamento!$D$2:$D$67))</f>
        <v>75</v>
      </c>
      <c r="N18" s="83">
        <f ca="1">IF(SUMIF(Lançamento!$A$2:$A$67,"="&amp;CONCATENATE(N$10,$A18),Lançamento!$D$2:$D$67) &lt;=0,IF(_xlfn.NUMBERVALUE(CONCATENATE(YEAR($A$10),MONTH($A$10)))&lt;_xlfn.NUMBERVALUE(CONCATENATE($B$2,MONTH(N$2))),VLOOKUP(Tabela6[[#This Row],[Coluna1]],Planodecontas[],3,FALSE),0), SUMIF(Lançamento!$A$2:$A$67,"="&amp;CONCATENATE(N$10,$A18),Lançamento!$D$2:$D$67))</f>
        <v>75</v>
      </c>
      <c r="O18" s="20">
        <f ca="1">SUM(Tabela6[[#This Row],[Coluna3]:[Coluna14]])</f>
        <v>890</v>
      </c>
    </row>
    <row r="19" spans="1:15" x14ac:dyDescent="0.25">
      <c r="A19" s="21" t="s">
        <v>64</v>
      </c>
      <c r="B19" s="22">
        <f>VLOOKUP(A19,Planodecontas[],3,FALSE)</f>
        <v>170</v>
      </c>
      <c r="C19" s="83">
        <f ca="1">IF(SUMIF(Lançamento!$A$2:$A$67,"="&amp;CONCATENATE(C$10,$A19),Lançamento!$D$2:$D$67) &lt;=0,IF(_xlfn.NUMBERVALUE(CONCATENATE(YEAR($A$10),MONTH($A$10)))&lt;_xlfn.NUMBERVALUE(CONCATENATE($B$2,MONTH(C$2))),VLOOKUP(Tabela6[[#This Row],[Coluna1]],Planodecontas[],3,FALSE),0), SUMIF(Lançamento!$A$2:$A$67,"="&amp;CONCATENATE(C$10,$A19),Lançamento!$D$2:$D$67))</f>
        <v>0</v>
      </c>
      <c r="D19" s="83">
        <f ca="1">IF(SUMIF(Lançamento!$A$2:$A$67,"="&amp;CONCATENATE(D$10,$A19),Lançamento!$D$2:$D$67) &lt;=0,IF(_xlfn.NUMBERVALUE(CONCATENATE(YEAR($A$10),MONTH($A$10)))&lt;_xlfn.NUMBERVALUE(CONCATENATE($B$2,MONTH(D$2))),VLOOKUP(Tabela6[[#This Row],[Coluna1]],Planodecontas[],3,FALSE),0), SUMIF(Lançamento!$A$2:$A$67,"="&amp;CONCATENATE(D$10,$A19),Lançamento!$D$2:$D$67))</f>
        <v>0</v>
      </c>
      <c r="E19" s="83">
        <f ca="1">IF(SUMIF(Lançamento!$A$2:$A$67,"="&amp;CONCATENATE(E$10,$A19),Lançamento!$D$2:$D$67) &lt;=0,IF(_xlfn.NUMBERVALUE(CONCATENATE(YEAR($A$10),MONTH($A$10)))&lt;_xlfn.NUMBERVALUE(CONCATENATE($B$2,MONTH(E$2))),VLOOKUP(Tabela6[[#This Row],[Coluna1]],Planodecontas[],3,FALSE),0), SUMIF(Lançamento!$A$2:$A$67,"="&amp;CONCATENATE(E$10,$A19),Lançamento!$D$2:$D$67))</f>
        <v>0</v>
      </c>
      <c r="F19" s="83">
        <f ca="1">IF(SUMIF(Lançamento!$A$2:$A$67,"="&amp;CONCATENATE(F$10,$A19),Lançamento!$D$2:$D$67) &lt;=0,IF(_xlfn.NUMBERVALUE(CONCATENATE(YEAR($A$10),MONTH($A$10)))&lt;_xlfn.NUMBERVALUE(CONCATENATE($B$2,MONTH(F$2))),VLOOKUP(Tabela6[[#This Row],[Coluna1]],Planodecontas[],3,FALSE),0), SUMIF(Lançamento!$A$2:$A$67,"="&amp;CONCATENATE(F$10,$A19),Lançamento!$D$2:$D$67))</f>
        <v>0</v>
      </c>
      <c r="G19" s="83">
        <f ca="1">IF(SUMIF(Lançamento!$A$2:$A$67,"="&amp;CONCATENATE(G$10,$A19),Lançamento!$D$2:$D$67) &lt;=0,IF(_xlfn.NUMBERVALUE(CONCATENATE(YEAR($A$10),MONTH($A$10)))&lt;_xlfn.NUMBERVALUE(CONCATENATE($B$2,MONTH(G$2))),VLOOKUP(Tabela6[[#This Row],[Coluna1]],Planodecontas[],3,FALSE),0), SUMIF(Lançamento!$A$2:$A$67,"="&amp;CONCATENATE(G$10,$A19),Lançamento!$D$2:$D$67))</f>
        <v>170</v>
      </c>
      <c r="H19" s="83">
        <f ca="1">IF(SUMIF(Lançamento!$A$2:$A$67,"="&amp;CONCATENATE(H$10,$A19),Lançamento!$D$2:$D$67) &lt;=0,IF(_xlfn.NUMBERVALUE(CONCATENATE(YEAR($A$10),MONTH($A$10)))&lt;_xlfn.NUMBERVALUE(CONCATENATE($B$2,MONTH(H$2))),VLOOKUP(Tabela6[[#This Row],[Coluna1]],Planodecontas[],3,FALSE),0), SUMIF(Lançamento!$A$2:$A$67,"="&amp;CONCATENATE(H$10,$A19),Lançamento!$D$2:$D$67))</f>
        <v>170</v>
      </c>
      <c r="I19" s="83">
        <f ca="1">IF(SUMIF(Lançamento!$A$2:$A$67,"="&amp;CONCATENATE(I$10,$A19),Lançamento!$D$2:$D$67) &lt;=0,IF(_xlfn.NUMBERVALUE(CONCATENATE(YEAR($A$10),MONTH($A$10)))&lt;_xlfn.NUMBERVALUE(CONCATENATE($B$2,MONTH(I$2))),VLOOKUP(Tabela6[[#This Row],[Coluna1]],Planodecontas[],3,FALSE),0), SUMIF(Lançamento!$A$2:$A$67,"="&amp;CONCATENATE(I$10,$A19),Lançamento!$D$2:$D$67))</f>
        <v>170</v>
      </c>
      <c r="J19" s="83">
        <f ca="1">IF(SUMIF(Lançamento!$A$2:$A$67,"="&amp;CONCATENATE(J$10,$A19),Lançamento!$D$2:$D$67) &lt;=0,IF(_xlfn.NUMBERVALUE(CONCATENATE(YEAR($A$10),MONTH($A$10)))&lt;_xlfn.NUMBERVALUE(CONCATENATE($B$2,MONTH(J$2))),VLOOKUP(Tabela6[[#This Row],[Coluna1]],Planodecontas[],3,FALSE),0), SUMIF(Lançamento!$A$2:$A$67,"="&amp;CONCATENATE(J$10,$A19),Lançamento!$D$2:$D$67))</f>
        <v>170</v>
      </c>
      <c r="K19" s="83">
        <f ca="1">IF(SUMIF(Lançamento!$A$2:$A$67,"="&amp;CONCATENATE(K$10,$A19),Lançamento!$D$2:$D$67) &lt;=0,IF(_xlfn.NUMBERVALUE(CONCATENATE(YEAR($A$10),MONTH($A$10)))&lt;_xlfn.NUMBERVALUE(CONCATENATE($B$2,MONTH(K$2))),VLOOKUP(Tabela6[[#This Row],[Coluna1]],Planodecontas[],3,FALSE),0), SUMIF(Lançamento!$A$2:$A$67,"="&amp;CONCATENATE(K$10,$A19),Lançamento!$D$2:$D$67))</f>
        <v>170</v>
      </c>
      <c r="L19" s="83">
        <f ca="1">IF(SUMIF(Lançamento!$A$2:$A$67,"="&amp;CONCATENATE(L$10,$A19),Lançamento!$D$2:$D$67) &lt;=0,IF(_xlfn.NUMBERVALUE(CONCATENATE(YEAR($A$10),MONTH($A$10)))&lt;_xlfn.NUMBERVALUE(CONCATENATE($B$2,MONTH(L$2))),VLOOKUP(Tabela6[[#This Row],[Coluna1]],Planodecontas[],3,FALSE),0), SUMIF(Lançamento!$A$2:$A$67,"="&amp;CONCATENATE(L$10,$A19),Lançamento!$D$2:$D$67))</f>
        <v>170</v>
      </c>
      <c r="M19" s="83">
        <f ca="1">IF(SUMIF(Lançamento!$A$2:$A$67,"="&amp;CONCATENATE(M$10,$A19),Lançamento!$D$2:$D$67) &lt;=0,IF(_xlfn.NUMBERVALUE(CONCATENATE(YEAR($A$10),MONTH($A$10)))&lt;_xlfn.NUMBERVALUE(CONCATENATE($B$2,MONTH(M$2))),VLOOKUP(Tabela6[[#This Row],[Coluna1]],Planodecontas[],3,FALSE),0), SUMIF(Lançamento!$A$2:$A$67,"="&amp;CONCATENATE(M$10,$A19),Lançamento!$D$2:$D$67))</f>
        <v>170</v>
      </c>
      <c r="N19" s="83">
        <f>IF(SUMIF(Lançamento!$A$2:$A$67,"="&amp;CONCATENATE(N$10,$A19),Lançamento!$D$2:$D$67) &lt;=0,IF(_xlfn.NUMBERVALUE(CONCATENATE(YEAR($A$10),MONTH($A$10)))&lt;_xlfn.NUMBERVALUE(CONCATENATE($B$2,MONTH(N$2))),VLOOKUP(Tabela6[[#This Row],[Coluna1]],Planodecontas[],3,FALSE),0), SUMIF(Lançamento!$A$2:$A$67,"="&amp;CONCATENATE(N$10,$A19),Lançamento!$D$2:$D$67))</f>
        <v>270.66000000000003</v>
      </c>
      <c r="O19" s="20">
        <f ca="1">SUM(Tabela6[[#This Row],[Coluna3]:[Coluna14]])</f>
        <v>1460.66</v>
      </c>
    </row>
    <row r="20" spans="1:15" x14ac:dyDescent="0.25">
      <c r="A20" s="21" t="s">
        <v>32</v>
      </c>
      <c r="B20" s="22">
        <f>VLOOKUP(A20,Planodecontas[],3,FALSE)</f>
        <v>0</v>
      </c>
      <c r="C20" s="83">
        <f ca="1">IF(SUMIF(Lançamento!$A$2:$A$67,"="&amp;CONCATENATE(C$10,$A20),Lançamento!$D$2:$D$67) &lt;=0,IF(_xlfn.NUMBERVALUE(CONCATENATE(YEAR($A$10),MONTH($A$10)))&lt;_xlfn.NUMBERVALUE(CONCATENATE($B$2,MONTH(C$2))),VLOOKUP(Tabela6[[#This Row],[Coluna1]],Planodecontas[],3,FALSE),0), SUMIF(Lançamento!$A$2:$A$67,"="&amp;CONCATENATE(C$10,$A20),Lançamento!$D$2:$D$67))</f>
        <v>0</v>
      </c>
      <c r="D20" s="83">
        <f ca="1">IF(SUMIF(Lançamento!$A$2:$A$67,"="&amp;CONCATENATE(D$10,$A20),Lançamento!$D$2:$D$67) &lt;=0,IF(_xlfn.NUMBERVALUE(CONCATENATE(YEAR($A$10),MONTH($A$10)))&lt;_xlfn.NUMBERVALUE(CONCATENATE($B$2,MONTH(D$2))),VLOOKUP(Tabela6[[#This Row],[Coluna1]],Planodecontas[],3,FALSE),0), SUMIF(Lançamento!$A$2:$A$67,"="&amp;CONCATENATE(D$10,$A20),Lançamento!$D$2:$D$67))</f>
        <v>0</v>
      </c>
      <c r="E20" s="83">
        <f ca="1">IF(SUMIF(Lançamento!$A$2:$A$67,"="&amp;CONCATENATE(E$10,$A20),Lançamento!$D$2:$D$67) &lt;=0,IF(_xlfn.NUMBERVALUE(CONCATENATE(YEAR($A$10),MONTH($A$10)))&lt;_xlfn.NUMBERVALUE(CONCATENATE($B$2,MONTH(E$2))),VLOOKUP(Tabela6[[#This Row],[Coluna1]],Planodecontas[],3,FALSE),0), SUMIF(Lançamento!$A$2:$A$67,"="&amp;CONCATENATE(E$10,$A20),Lançamento!$D$2:$D$67))</f>
        <v>0</v>
      </c>
      <c r="F20" s="83">
        <f ca="1">IF(SUMIF(Lançamento!$A$2:$A$67,"="&amp;CONCATENATE(F$10,$A20),Lançamento!$D$2:$D$67) &lt;=0,IF(_xlfn.NUMBERVALUE(CONCATENATE(YEAR($A$10),MONTH($A$10)))&lt;_xlfn.NUMBERVALUE(CONCATENATE($B$2,MONTH(F$2))),VLOOKUP(Tabela6[[#This Row],[Coluna1]],Planodecontas[],3,FALSE),0), SUMIF(Lançamento!$A$2:$A$67,"="&amp;CONCATENATE(F$10,$A20),Lançamento!$D$2:$D$67))</f>
        <v>0</v>
      </c>
      <c r="G20" s="83">
        <f ca="1">IF(SUMIF(Lançamento!$A$2:$A$67,"="&amp;CONCATENATE(G$10,$A20),Lançamento!$D$2:$D$67) &lt;=0,IF(_xlfn.NUMBERVALUE(CONCATENATE(YEAR($A$10),MONTH($A$10)))&lt;_xlfn.NUMBERVALUE(CONCATENATE($B$2,MONTH(G$2))),VLOOKUP(Tabela6[[#This Row],[Coluna1]],Planodecontas[],3,FALSE),0), SUMIF(Lançamento!$A$2:$A$67,"="&amp;CONCATENATE(G$10,$A20),Lançamento!$D$2:$D$67))</f>
        <v>0</v>
      </c>
      <c r="H20" s="83">
        <f ca="1">IF(SUMIF(Lançamento!$A$2:$A$67,"="&amp;CONCATENATE(H$10,$A20),Lançamento!$D$2:$D$67) &lt;=0,IF(_xlfn.NUMBERVALUE(CONCATENATE(YEAR($A$10),MONTH($A$10)))&lt;_xlfn.NUMBERVALUE(CONCATENATE($B$2,MONTH(H$2))),VLOOKUP(Tabela6[[#This Row],[Coluna1]],Planodecontas[],3,FALSE),0), SUMIF(Lançamento!$A$2:$A$67,"="&amp;CONCATENATE(H$10,$A20),Lançamento!$D$2:$D$67))</f>
        <v>0</v>
      </c>
      <c r="I20" s="83">
        <f ca="1">IF(SUMIF(Lançamento!$A$2:$A$67,"="&amp;CONCATENATE(I$10,$A20),Lançamento!$D$2:$D$67) &lt;=0,IF(_xlfn.NUMBERVALUE(CONCATENATE(YEAR($A$10),MONTH($A$10)))&lt;_xlfn.NUMBERVALUE(CONCATENATE($B$2,MONTH(I$2))),VLOOKUP(Tabela6[[#This Row],[Coluna1]],Planodecontas[],3,FALSE),0), SUMIF(Lançamento!$A$2:$A$67,"="&amp;CONCATENATE(I$10,$A20),Lançamento!$D$2:$D$67))</f>
        <v>0</v>
      </c>
      <c r="J20" s="83">
        <f ca="1">IF(SUMIF(Lançamento!$A$2:$A$67,"="&amp;CONCATENATE(J$10,$A20),Lançamento!$D$2:$D$67) &lt;=0,IF(_xlfn.NUMBERVALUE(CONCATENATE(YEAR($A$10),MONTH($A$10)))&lt;_xlfn.NUMBERVALUE(CONCATENATE($B$2,MONTH(J$2))),VLOOKUP(Tabela6[[#This Row],[Coluna1]],Planodecontas[],3,FALSE),0), SUMIF(Lançamento!$A$2:$A$67,"="&amp;CONCATENATE(J$10,$A20),Lançamento!$D$2:$D$67))</f>
        <v>0</v>
      </c>
      <c r="K20" s="83">
        <f ca="1">IF(SUMIF(Lançamento!$A$2:$A$67,"="&amp;CONCATENATE(K$10,$A20),Lançamento!$D$2:$D$67) &lt;=0,IF(_xlfn.NUMBERVALUE(CONCATENATE(YEAR($A$10),MONTH($A$10)))&lt;_xlfn.NUMBERVALUE(CONCATENATE($B$2,MONTH(K$2))),VLOOKUP(Tabela6[[#This Row],[Coluna1]],Planodecontas[],3,FALSE),0), SUMIF(Lançamento!$A$2:$A$67,"="&amp;CONCATENATE(K$10,$A20),Lançamento!$D$2:$D$67))</f>
        <v>0</v>
      </c>
      <c r="L20" s="83">
        <f ca="1">IF(SUMIF(Lançamento!$A$2:$A$67,"="&amp;CONCATENATE(L$10,$A20),Lançamento!$D$2:$D$67) &lt;=0,IF(_xlfn.NUMBERVALUE(CONCATENATE(YEAR($A$10),MONTH($A$10)))&lt;_xlfn.NUMBERVALUE(CONCATENATE($B$2,MONTH(L$2))),VLOOKUP(Tabela6[[#This Row],[Coluna1]],Planodecontas[],3,FALSE),0), SUMIF(Lançamento!$A$2:$A$67,"="&amp;CONCATENATE(L$10,$A20),Lançamento!$D$2:$D$67))</f>
        <v>0</v>
      </c>
      <c r="M20" s="83">
        <f ca="1">IF(SUMIF(Lançamento!$A$2:$A$67,"="&amp;CONCATENATE(M$10,$A20),Lançamento!$D$2:$D$67) &lt;=0,IF(_xlfn.NUMBERVALUE(CONCATENATE(YEAR($A$10),MONTH($A$10)))&lt;_xlfn.NUMBERVALUE(CONCATENATE($B$2,MONTH(M$2))),VLOOKUP(Tabela6[[#This Row],[Coluna1]],Planodecontas[],3,FALSE),0), SUMIF(Lançamento!$A$2:$A$67,"="&amp;CONCATENATE(M$10,$A20),Lançamento!$D$2:$D$67))</f>
        <v>0</v>
      </c>
      <c r="N20" s="83">
        <f>IF(SUMIF(Lançamento!$A$2:$A$67,"="&amp;CONCATENATE(N$10,$A20),Lançamento!$D$2:$D$67) &lt;=0,IF(_xlfn.NUMBERVALUE(CONCATENATE(YEAR($A$10),MONTH($A$10)))&lt;_xlfn.NUMBERVALUE(CONCATENATE($B$2,MONTH(N$2))),VLOOKUP(Tabela6[[#This Row],[Coluna1]],Planodecontas[],3,FALSE),0), SUMIF(Lançamento!$A$2:$A$67,"="&amp;CONCATENATE(N$10,$A20),Lançamento!$D$2:$D$67))</f>
        <v>262.94</v>
      </c>
      <c r="O20" s="20">
        <f ca="1">SUM(Tabela6[[#This Row],[Coluna3]:[Coluna14]])</f>
        <v>262.94</v>
      </c>
    </row>
    <row r="21" spans="1:15" x14ac:dyDescent="0.25">
      <c r="A21" s="21" t="s">
        <v>65</v>
      </c>
      <c r="B21" s="22">
        <f>VLOOKUP(A21,Planodecontas[],3,FALSE)</f>
        <v>0</v>
      </c>
      <c r="C21" s="83">
        <f ca="1">IF(SUMIF(Lançamento!$A$2:$A$67,"="&amp;CONCATENATE(C$10,$A21),Lançamento!$D$2:$D$67) &lt;=0,IF(_xlfn.NUMBERVALUE(CONCATENATE(YEAR($A$10),MONTH($A$10)))&lt;_xlfn.NUMBERVALUE(CONCATENATE($B$2,MONTH(C$2))),VLOOKUP(Tabela6[[#This Row],[Coluna1]],Planodecontas[],3,FALSE),0), SUMIF(Lançamento!$A$2:$A$67,"="&amp;CONCATENATE(C$10,$A21),Lançamento!$D$2:$D$67))</f>
        <v>0</v>
      </c>
      <c r="D21" s="83">
        <f ca="1">IF(SUMIF(Lançamento!$A$2:$A$67,"="&amp;CONCATENATE(D$10,$A21),Lançamento!$D$2:$D$67) &lt;=0,IF(_xlfn.NUMBERVALUE(CONCATENATE(YEAR($A$10),MONTH($A$10)))&lt;_xlfn.NUMBERVALUE(CONCATENATE($B$2,MONTH(D$2))),VLOOKUP(Tabela6[[#This Row],[Coluna1]],Planodecontas[],3,FALSE),0), SUMIF(Lançamento!$A$2:$A$67,"="&amp;CONCATENATE(D$10,$A21),Lançamento!$D$2:$D$67))</f>
        <v>0</v>
      </c>
      <c r="E21" s="83">
        <f ca="1">IF(SUMIF(Lançamento!$A$2:$A$67,"="&amp;CONCATENATE(E$10,$A21),Lançamento!$D$2:$D$67) &lt;=0,IF(_xlfn.NUMBERVALUE(CONCATENATE(YEAR($A$10),MONTH($A$10)))&lt;_xlfn.NUMBERVALUE(CONCATENATE($B$2,MONTH(E$2))),VLOOKUP(Tabela6[[#This Row],[Coluna1]],Planodecontas[],3,FALSE),0), SUMIF(Lançamento!$A$2:$A$67,"="&amp;CONCATENATE(E$10,$A21),Lançamento!$D$2:$D$67))</f>
        <v>0</v>
      </c>
      <c r="F21" s="83">
        <f ca="1">IF(SUMIF(Lançamento!$A$2:$A$67,"="&amp;CONCATENATE(F$10,$A21),Lançamento!$D$2:$D$67) &lt;=0,IF(_xlfn.NUMBERVALUE(CONCATENATE(YEAR($A$10),MONTH($A$10)))&lt;_xlfn.NUMBERVALUE(CONCATENATE($B$2,MONTH(F$2))),VLOOKUP(Tabela6[[#This Row],[Coluna1]],Planodecontas[],3,FALSE),0), SUMIF(Lançamento!$A$2:$A$67,"="&amp;CONCATENATE(F$10,$A21),Lançamento!$D$2:$D$67))</f>
        <v>0</v>
      </c>
      <c r="G21" s="83">
        <f ca="1">IF(SUMIF(Lançamento!$A$2:$A$67,"="&amp;CONCATENATE(G$10,$A21),Lançamento!$D$2:$D$67) &lt;=0,IF(_xlfn.NUMBERVALUE(CONCATENATE(YEAR($A$10),MONTH($A$10)))&lt;_xlfn.NUMBERVALUE(CONCATENATE($B$2,MONTH(G$2))),VLOOKUP(Tabela6[[#This Row],[Coluna1]],Planodecontas[],3,FALSE),0), SUMIF(Lançamento!$A$2:$A$67,"="&amp;CONCATENATE(G$10,$A21),Lançamento!$D$2:$D$67))</f>
        <v>0</v>
      </c>
      <c r="H21" s="83">
        <f ca="1">IF(SUMIF(Lançamento!$A$2:$A$67,"="&amp;CONCATENATE(H$10,$A21),Lançamento!$D$2:$D$67) &lt;=0,IF(_xlfn.NUMBERVALUE(CONCATENATE(YEAR($A$10),MONTH($A$10)))&lt;_xlfn.NUMBERVALUE(CONCATENATE($B$2,MONTH(H$2))),VLOOKUP(Tabela6[[#This Row],[Coluna1]],Planodecontas[],3,FALSE),0), SUMIF(Lançamento!$A$2:$A$67,"="&amp;CONCATENATE(H$10,$A21),Lançamento!$D$2:$D$67))</f>
        <v>0</v>
      </c>
      <c r="I21" s="83">
        <f ca="1">IF(SUMIF(Lançamento!$A$2:$A$67,"="&amp;CONCATENATE(I$10,$A21),Lançamento!$D$2:$D$67) &lt;=0,IF(_xlfn.NUMBERVALUE(CONCATENATE(YEAR($A$10),MONTH($A$10)))&lt;_xlfn.NUMBERVALUE(CONCATENATE($B$2,MONTH(I$2))),VLOOKUP(Tabela6[[#This Row],[Coluna1]],Planodecontas[],3,FALSE),0), SUMIF(Lançamento!$A$2:$A$67,"="&amp;CONCATENATE(I$10,$A21),Lançamento!$D$2:$D$67))</f>
        <v>0</v>
      </c>
      <c r="J21" s="83">
        <f ca="1">IF(SUMIF(Lançamento!$A$2:$A$67,"="&amp;CONCATENATE(J$10,$A21),Lançamento!$D$2:$D$67) &lt;=0,IF(_xlfn.NUMBERVALUE(CONCATENATE(YEAR($A$10),MONTH($A$10)))&lt;_xlfn.NUMBERVALUE(CONCATENATE($B$2,MONTH(J$2))),VLOOKUP(Tabela6[[#This Row],[Coluna1]],Planodecontas[],3,FALSE),0), SUMIF(Lançamento!$A$2:$A$67,"="&amp;CONCATENATE(J$10,$A21),Lançamento!$D$2:$D$67))</f>
        <v>0</v>
      </c>
      <c r="K21" s="83">
        <f ca="1">IF(SUMIF(Lançamento!$A$2:$A$67,"="&amp;CONCATENATE(K$10,$A21),Lançamento!$D$2:$D$67) &lt;=0,IF(_xlfn.NUMBERVALUE(CONCATENATE(YEAR($A$10),MONTH($A$10)))&lt;_xlfn.NUMBERVALUE(CONCATENATE($B$2,MONTH(K$2))),VLOOKUP(Tabela6[[#This Row],[Coluna1]],Planodecontas[],3,FALSE),0), SUMIF(Lançamento!$A$2:$A$67,"="&amp;CONCATENATE(K$10,$A21),Lançamento!$D$2:$D$67))</f>
        <v>0</v>
      </c>
      <c r="L21" s="83">
        <f ca="1">IF(SUMIF(Lançamento!$A$2:$A$67,"="&amp;CONCATENATE(L$10,$A21),Lançamento!$D$2:$D$67) &lt;=0,IF(_xlfn.NUMBERVALUE(CONCATENATE(YEAR($A$10),MONTH($A$10)))&lt;_xlfn.NUMBERVALUE(CONCATENATE($B$2,MONTH(L$2))),VLOOKUP(Tabela6[[#This Row],[Coluna1]],Planodecontas[],3,FALSE),0), SUMIF(Lançamento!$A$2:$A$67,"="&amp;CONCATENATE(L$10,$A21),Lançamento!$D$2:$D$67))</f>
        <v>0</v>
      </c>
      <c r="M21" s="83">
        <f ca="1">IF(SUMIF(Lançamento!$A$2:$A$67,"="&amp;CONCATENATE(M$10,$A21),Lançamento!$D$2:$D$67) &lt;=0,IF(_xlfn.NUMBERVALUE(CONCATENATE(YEAR($A$10),MONTH($A$10)))&lt;_xlfn.NUMBERVALUE(CONCATENATE($B$2,MONTH(M$2))),VLOOKUP(Tabela6[[#This Row],[Coluna1]],Planodecontas[],3,FALSE),0), SUMIF(Lançamento!$A$2:$A$67,"="&amp;CONCATENATE(M$10,$A21),Lançamento!$D$2:$D$67))</f>
        <v>0</v>
      </c>
      <c r="N21" s="83">
        <f>IF(SUMIF(Lançamento!$A$2:$A$67,"="&amp;CONCATENATE(N$10,$A21),Lançamento!$D$2:$D$67) &lt;=0,IF(_xlfn.NUMBERVALUE(CONCATENATE(YEAR($A$10),MONTH($A$10)))&lt;_xlfn.NUMBERVALUE(CONCATENATE($B$2,MONTH(N$2))),VLOOKUP(Tabela6[[#This Row],[Coluna1]],Planodecontas[],3,FALSE),0), SUMIF(Lançamento!$A$2:$A$67,"="&amp;CONCATENATE(N$10,$A21),Lançamento!$D$2:$D$67))</f>
        <v>116.4</v>
      </c>
      <c r="O21" s="20">
        <f ca="1">SUM(Tabela6[[#This Row],[Coluna3]:[Coluna14]])</f>
        <v>116.4</v>
      </c>
    </row>
    <row r="22" spans="1:15" x14ac:dyDescent="0.25">
      <c r="A22" s="21" t="s">
        <v>34</v>
      </c>
      <c r="B22" s="22">
        <f>VLOOKUP(A22,Planodecontas[],3,FALSE)</f>
        <v>450</v>
      </c>
      <c r="C22" s="83">
        <f ca="1">IF(SUMIF(Lançamento!$A$2:$A$67,"="&amp;CONCATENATE(C$10,$A22),Lançamento!$D$2:$D$67) &lt;=0,IF(_xlfn.NUMBERVALUE(CONCATENATE(YEAR($A$10),MONTH($A$10)))&lt;_xlfn.NUMBERVALUE(CONCATENATE($B$2,MONTH(C$2))),VLOOKUP(Tabela6[[#This Row],[Coluna1]],Planodecontas[],3,FALSE),0), SUMIF(Lançamento!$A$2:$A$67,"="&amp;CONCATENATE(C$10,$A22),Lançamento!$D$2:$D$67))</f>
        <v>0</v>
      </c>
      <c r="D22" s="83">
        <f ca="1">IF(SUMIF(Lançamento!$A$2:$A$67,"="&amp;CONCATENATE(D$10,$A22),Lançamento!$D$2:$D$67) &lt;=0,IF(_xlfn.NUMBERVALUE(CONCATENATE(YEAR($A$10),MONTH($A$10)))&lt;_xlfn.NUMBERVALUE(CONCATENATE($B$2,MONTH(D$2))),VLOOKUP(Tabela6[[#This Row],[Coluna1]],Planodecontas[],3,FALSE),0), SUMIF(Lançamento!$A$2:$A$67,"="&amp;CONCATENATE(D$10,$A22),Lançamento!$D$2:$D$67))</f>
        <v>0</v>
      </c>
      <c r="E22" s="83">
        <f ca="1">IF(SUMIF(Lançamento!$A$2:$A$67,"="&amp;CONCATENATE(E$10,$A22),Lançamento!$D$2:$D$67) &lt;=0,IF(_xlfn.NUMBERVALUE(CONCATENATE(YEAR($A$10),MONTH($A$10)))&lt;_xlfn.NUMBERVALUE(CONCATENATE($B$2,MONTH(E$2))),VLOOKUP(Tabela6[[#This Row],[Coluna1]],Planodecontas[],3,FALSE),0), SUMIF(Lançamento!$A$2:$A$67,"="&amp;CONCATENATE(E$10,$A22),Lançamento!$D$2:$D$67))</f>
        <v>0</v>
      </c>
      <c r="F22" s="83">
        <f ca="1">IF(SUMIF(Lançamento!$A$2:$A$67,"="&amp;CONCATENATE(F$10,$A22),Lançamento!$D$2:$D$67) &lt;=0,IF(_xlfn.NUMBERVALUE(CONCATENATE(YEAR($A$10),MONTH($A$10)))&lt;_xlfn.NUMBERVALUE(CONCATENATE($B$2,MONTH(F$2))),VLOOKUP(Tabela6[[#This Row],[Coluna1]],Planodecontas[],3,FALSE),0), SUMIF(Lançamento!$A$2:$A$67,"="&amp;CONCATENATE(F$10,$A22),Lançamento!$D$2:$D$67))</f>
        <v>0</v>
      </c>
      <c r="G22" s="83">
        <f ca="1">IF(SUMIF(Lançamento!$A$2:$A$67,"="&amp;CONCATENATE(G$10,$A22),Lançamento!$D$2:$D$67) &lt;=0,IF(_xlfn.NUMBERVALUE(CONCATENATE(YEAR($A$10),MONTH($A$10)))&lt;_xlfn.NUMBERVALUE(CONCATENATE($B$2,MONTH(G$2))),VLOOKUP(Tabela6[[#This Row],[Coluna1]],Planodecontas[],3,FALSE),0), SUMIF(Lançamento!$A$2:$A$67,"="&amp;CONCATENATE(G$10,$A22),Lançamento!$D$2:$D$67))</f>
        <v>450</v>
      </c>
      <c r="H22" s="83">
        <f ca="1">IF(SUMIF(Lançamento!$A$2:$A$67,"="&amp;CONCATENATE(H$10,$A22),Lançamento!$D$2:$D$67) &lt;=0,IF(_xlfn.NUMBERVALUE(CONCATENATE(YEAR($A$10),MONTH($A$10)))&lt;_xlfn.NUMBERVALUE(CONCATENATE($B$2,MONTH(H$2))),VLOOKUP(Tabela6[[#This Row],[Coluna1]],Planodecontas[],3,FALSE),0), SUMIF(Lançamento!$A$2:$A$67,"="&amp;CONCATENATE(H$10,$A22),Lançamento!$D$2:$D$67))</f>
        <v>450</v>
      </c>
      <c r="I22" s="83">
        <f ca="1">IF(SUMIF(Lançamento!$A$2:$A$67,"="&amp;CONCATENATE(I$10,$A22),Lançamento!$D$2:$D$67) &lt;=0,IF(_xlfn.NUMBERVALUE(CONCATENATE(YEAR($A$10),MONTH($A$10)))&lt;_xlfn.NUMBERVALUE(CONCATENATE($B$2,MONTH(I$2))),VLOOKUP(Tabela6[[#This Row],[Coluna1]],Planodecontas[],3,FALSE),0), SUMIF(Lançamento!$A$2:$A$67,"="&amp;CONCATENATE(I$10,$A22),Lançamento!$D$2:$D$67))</f>
        <v>450</v>
      </c>
      <c r="J22" s="83">
        <f ca="1">IF(SUMIF(Lançamento!$A$2:$A$67,"="&amp;CONCATENATE(J$10,$A22),Lançamento!$D$2:$D$67) &lt;=0,IF(_xlfn.NUMBERVALUE(CONCATENATE(YEAR($A$10),MONTH($A$10)))&lt;_xlfn.NUMBERVALUE(CONCATENATE($B$2,MONTH(J$2))),VLOOKUP(Tabela6[[#This Row],[Coluna1]],Planodecontas[],3,FALSE),0), SUMIF(Lançamento!$A$2:$A$67,"="&amp;CONCATENATE(J$10,$A22),Lançamento!$D$2:$D$67))</f>
        <v>450</v>
      </c>
      <c r="K22" s="83">
        <f ca="1">IF(SUMIF(Lançamento!$A$2:$A$67,"="&amp;CONCATENATE(K$10,$A22),Lançamento!$D$2:$D$67) &lt;=0,IF(_xlfn.NUMBERVALUE(CONCATENATE(YEAR($A$10),MONTH($A$10)))&lt;_xlfn.NUMBERVALUE(CONCATENATE($B$2,MONTH(K$2))),VLOOKUP(Tabela6[[#This Row],[Coluna1]],Planodecontas[],3,FALSE),0), SUMIF(Lançamento!$A$2:$A$67,"="&amp;CONCATENATE(K$10,$A22),Lançamento!$D$2:$D$67))</f>
        <v>450</v>
      </c>
      <c r="L22" s="83">
        <f ca="1">IF(SUMIF(Lançamento!$A$2:$A$67,"="&amp;CONCATENATE(L$10,$A22),Lançamento!$D$2:$D$67) &lt;=0,IF(_xlfn.NUMBERVALUE(CONCATENATE(YEAR($A$10),MONTH($A$10)))&lt;_xlfn.NUMBERVALUE(CONCATENATE($B$2,MONTH(L$2))),VLOOKUP(Tabela6[[#This Row],[Coluna1]],Planodecontas[],3,FALSE),0), SUMIF(Lançamento!$A$2:$A$67,"="&amp;CONCATENATE(L$10,$A22),Lançamento!$D$2:$D$67))</f>
        <v>450</v>
      </c>
      <c r="M22" s="83">
        <f ca="1">IF(SUMIF(Lançamento!$A$2:$A$67,"="&amp;CONCATENATE(M$10,$A22),Lançamento!$D$2:$D$67) &lt;=0,IF(_xlfn.NUMBERVALUE(CONCATENATE(YEAR($A$10),MONTH($A$10)))&lt;_xlfn.NUMBERVALUE(CONCATENATE($B$2,MONTH(M$2))),VLOOKUP(Tabela6[[#This Row],[Coluna1]],Planodecontas[],3,FALSE),0), SUMIF(Lançamento!$A$2:$A$67,"="&amp;CONCATENATE(M$10,$A22),Lançamento!$D$2:$D$67))</f>
        <v>450</v>
      </c>
      <c r="N22" s="83">
        <f>IF(SUMIF(Lançamento!$A$2:$A$67,"="&amp;CONCATENATE(N$10,$A22),Lançamento!$D$2:$D$67) &lt;=0,IF(_xlfn.NUMBERVALUE(CONCATENATE(YEAR($A$10),MONTH($A$10)))&lt;_xlfn.NUMBERVALUE(CONCATENATE($B$2,MONTH(N$2))),VLOOKUP(Tabela6[[#This Row],[Coluna1]],Planodecontas[],3,FALSE),0), SUMIF(Lançamento!$A$2:$A$67,"="&amp;CONCATENATE(N$10,$A22),Lançamento!$D$2:$D$67))</f>
        <v>26.29</v>
      </c>
      <c r="O22" s="20">
        <f ca="1">SUM(Tabela6[[#This Row],[Coluna3]:[Coluna14]])</f>
        <v>3176.29</v>
      </c>
    </row>
    <row r="23" spans="1:15" x14ac:dyDescent="0.25">
      <c r="A23" s="21" t="s">
        <v>66</v>
      </c>
      <c r="B23" s="22">
        <f>VLOOKUP(A23,Planodecontas[],3,FALSE)</f>
        <v>0</v>
      </c>
      <c r="C23" s="83">
        <f ca="1">IF(SUMIF(Lançamento!$A$2:$A$67,"="&amp;CONCATENATE(C$10,$A23),Lançamento!$D$2:$D$67) &lt;=0,IF(_xlfn.NUMBERVALUE(CONCATENATE(YEAR($A$10),MONTH($A$10)))&lt;_xlfn.NUMBERVALUE(CONCATENATE($B$2,MONTH(C$2))),VLOOKUP(Tabela6[[#This Row],[Coluna1]],Planodecontas[],3,FALSE),0), SUMIF(Lançamento!$A$2:$A$67,"="&amp;CONCATENATE(C$10,$A23),Lançamento!$D$2:$D$67))</f>
        <v>0</v>
      </c>
      <c r="D23" s="83">
        <f ca="1">IF(SUMIF(Lançamento!$A$2:$A$67,"="&amp;CONCATENATE(D$10,$A23),Lançamento!$D$2:$D$67) &lt;=0,IF(_xlfn.NUMBERVALUE(CONCATENATE(YEAR($A$10),MONTH($A$10)))&lt;_xlfn.NUMBERVALUE(CONCATENATE($B$2,MONTH(D$2))),VLOOKUP(Tabela6[[#This Row],[Coluna1]],Planodecontas[],3,FALSE),0), SUMIF(Lançamento!$A$2:$A$67,"="&amp;CONCATENATE(D$10,$A23),Lançamento!$D$2:$D$67))</f>
        <v>0</v>
      </c>
      <c r="E23" s="83">
        <f ca="1">IF(SUMIF(Lançamento!$A$2:$A$67,"="&amp;CONCATENATE(E$10,$A23),Lançamento!$D$2:$D$67) &lt;=0,IF(_xlfn.NUMBERVALUE(CONCATENATE(YEAR($A$10),MONTH($A$10)))&lt;_xlfn.NUMBERVALUE(CONCATENATE($B$2,MONTH(E$2))),VLOOKUP(Tabela6[[#This Row],[Coluna1]],Planodecontas[],3,FALSE),0), SUMIF(Lançamento!$A$2:$A$67,"="&amp;CONCATENATE(E$10,$A23),Lançamento!$D$2:$D$67))</f>
        <v>0</v>
      </c>
      <c r="F23" s="83">
        <f ca="1">IF(SUMIF(Lançamento!$A$2:$A$67,"="&amp;CONCATENATE(F$10,$A23),Lançamento!$D$2:$D$67) &lt;=0,IF(_xlfn.NUMBERVALUE(CONCATENATE(YEAR($A$10),MONTH($A$10)))&lt;_xlfn.NUMBERVALUE(CONCATENATE($B$2,MONTH(F$2))),VLOOKUP(Tabela6[[#This Row],[Coluna1]],Planodecontas[],3,FALSE),0), SUMIF(Lançamento!$A$2:$A$67,"="&amp;CONCATENATE(F$10,$A23),Lançamento!$D$2:$D$67))</f>
        <v>0</v>
      </c>
      <c r="G23" s="83">
        <f ca="1">IF(SUMIF(Lançamento!$A$2:$A$67,"="&amp;CONCATENATE(G$10,$A23),Lançamento!$D$2:$D$67) &lt;=0,IF(_xlfn.NUMBERVALUE(CONCATENATE(YEAR($A$10),MONTH($A$10)))&lt;_xlfn.NUMBERVALUE(CONCATENATE($B$2,MONTH(G$2))),VLOOKUP(Tabela6[[#This Row],[Coluna1]],Planodecontas[],3,FALSE),0), SUMIF(Lançamento!$A$2:$A$67,"="&amp;CONCATENATE(G$10,$A23),Lançamento!$D$2:$D$67))</f>
        <v>0</v>
      </c>
      <c r="H23" s="83">
        <f ca="1">IF(SUMIF(Lançamento!$A$2:$A$67,"="&amp;CONCATENATE(H$10,$A23),Lançamento!$D$2:$D$67) &lt;=0,IF(_xlfn.NUMBERVALUE(CONCATENATE(YEAR($A$10),MONTH($A$10)))&lt;_xlfn.NUMBERVALUE(CONCATENATE($B$2,MONTH(H$2))),VLOOKUP(Tabela6[[#This Row],[Coluna1]],Planodecontas[],3,FALSE),0), SUMIF(Lançamento!$A$2:$A$67,"="&amp;CONCATENATE(H$10,$A23),Lançamento!$D$2:$D$67))</f>
        <v>0</v>
      </c>
      <c r="I23" s="83">
        <f ca="1">IF(SUMIF(Lançamento!$A$2:$A$67,"="&amp;CONCATENATE(I$10,$A23),Lançamento!$D$2:$D$67) &lt;=0,IF(_xlfn.NUMBERVALUE(CONCATENATE(YEAR($A$10),MONTH($A$10)))&lt;_xlfn.NUMBERVALUE(CONCATENATE($B$2,MONTH(I$2))),VLOOKUP(Tabela6[[#This Row],[Coluna1]],Planodecontas[],3,FALSE),0), SUMIF(Lançamento!$A$2:$A$67,"="&amp;CONCATENATE(I$10,$A23),Lançamento!$D$2:$D$67))</f>
        <v>0</v>
      </c>
      <c r="J23" s="83">
        <f ca="1">IF(SUMIF(Lançamento!$A$2:$A$67,"="&amp;CONCATENATE(J$10,$A23),Lançamento!$D$2:$D$67) &lt;=0,IF(_xlfn.NUMBERVALUE(CONCATENATE(YEAR($A$10),MONTH($A$10)))&lt;_xlfn.NUMBERVALUE(CONCATENATE($B$2,MONTH(J$2))),VLOOKUP(Tabela6[[#This Row],[Coluna1]],Planodecontas[],3,FALSE),0), SUMIF(Lançamento!$A$2:$A$67,"="&amp;CONCATENATE(J$10,$A23),Lançamento!$D$2:$D$67))</f>
        <v>0</v>
      </c>
      <c r="K23" s="83">
        <f ca="1">IF(SUMIF(Lançamento!$A$2:$A$67,"="&amp;CONCATENATE(K$10,$A23),Lançamento!$D$2:$D$67) &lt;=0,IF(_xlfn.NUMBERVALUE(CONCATENATE(YEAR($A$10),MONTH($A$10)))&lt;_xlfn.NUMBERVALUE(CONCATENATE($B$2,MONTH(K$2))),VLOOKUP(Tabela6[[#This Row],[Coluna1]],Planodecontas[],3,FALSE),0), SUMIF(Lançamento!$A$2:$A$67,"="&amp;CONCATENATE(K$10,$A23),Lançamento!$D$2:$D$67))</f>
        <v>0</v>
      </c>
      <c r="L23" s="83">
        <f ca="1">IF(SUMIF(Lançamento!$A$2:$A$67,"="&amp;CONCATENATE(L$10,$A23),Lançamento!$D$2:$D$67) &lt;=0,IF(_xlfn.NUMBERVALUE(CONCATENATE(YEAR($A$10),MONTH($A$10)))&lt;_xlfn.NUMBERVALUE(CONCATENATE($B$2,MONTH(L$2))),VLOOKUP(Tabela6[[#This Row],[Coluna1]],Planodecontas[],3,FALSE),0), SUMIF(Lançamento!$A$2:$A$67,"="&amp;CONCATENATE(L$10,$A23),Lançamento!$D$2:$D$67))</f>
        <v>0</v>
      </c>
      <c r="M23" s="83">
        <f ca="1">IF(SUMIF(Lançamento!$A$2:$A$67,"="&amp;CONCATENATE(M$10,$A23),Lançamento!$D$2:$D$67) &lt;=0,IF(_xlfn.NUMBERVALUE(CONCATENATE(YEAR($A$10),MONTH($A$10)))&lt;_xlfn.NUMBERVALUE(CONCATENATE($B$2,MONTH(M$2))),VLOOKUP(Tabela6[[#This Row],[Coluna1]],Planodecontas[],3,FALSE),0), SUMIF(Lançamento!$A$2:$A$67,"="&amp;CONCATENATE(M$10,$A23),Lançamento!$D$2:$D$67))</f>
        <v>0</v>
      </c>
      <c r="N23" s="83">
        <f>IF(SUMIF(Lançamento!$A$2:$A$67,"="&amp;CONCATENATE(N$10,$A23),Lançamento!$D$2:$D$67) &lt;=0,IF(_xlfn.NUMBERVALUE(CONCATENATE(YEAR($A$10),MONTH($A$10)))&lt;_xlfn.NUMBERVALUE(CONCATENATE($B$2,MONTH(N$2))),VLOOKUP(Tabela6[[#This Row],[Coluna1]],Planodecontas[],3,FALSE),0), SUMIF(Lançamento!$A$2:$A$67,"="&amp;CONCATENATE(N$10,$A23),Lançamento!$D$2:$D$67))</f>
        <v>27.75</v>
      </c>
      <c r="O23" s="20">
        <f ca="1">SUM(Tabela6[[#This Row],[Coluna3]:[Coluna14]])</f>
        <v>27.75</v>
      </c>
    </row>
    <row r="24" spans="1:15" x14ac:dyDescent="0.25">
      <c r="A24" s="21" t="s">
        <v>35</v>
      </c>
      <c r="B24" s="22">
        <f>VLOOKUP(A24,Planodecontas[],3,FALSE)</f>
        <v>0</v>
      </c>
      <c r="C24" s="83">
        <f ca="1">IF(SUMIF(Lançamento!$A$2:$A$67,"="&amp;CONCATENATE(C$10,$A24),Lançamento!$D$2:$D$67) &lt;=0,IF(_xlfn.NUMBERVALUE(CONCATENATE(YEAR($A$10),MONTH($A$10)))&lt;_xlfn.NUMBERVALUE(CONCATENATE($B$2,MONTH(C$2))),VLOOKUP(Tabela6[[#This Row],[Coluna1]],Planodecontas[],3,FALSE),0), SUMIF(Lançamento!$A$2:$A$67,"="&amp;CONCATENATE(C$10,$A24),Lançamento!$D$2:$D$67))</f>
        <v>0</v>
      </c>
      <c r="D24" s="83">
        <f ca="1">IF(SUMIF(Lançamento!$A$2:$A$67,"="&amp;CONCATENATE(D$10,$A24),Lançamento!$D$2:$D$67) &lt;=0,IF(_xlfn.NUMBERVALUE(CONCATENATE(YEAR($A$10),MONTH($A$10)))&lt;_xlfn.NUMBERVALUE(CONCATENATE($B$2,MONTH(D$2))),VLOOKUP(Tabela6[[#This Row],[Coluna1]],Planodecontas[],3,FALSE),0), SUMIF(Lançamento!$A$2:$A$67,"="&amp;CONCATENATE(D$10,$A24),Lançamento!$D$2:$D$67))</f>
        <v>0</v>
      </c>
      <c r="E24" s="83">
        <f ca="1">IF(SUMIF(Lançamento!$A$2:$A$67,"="&amp;CONCATENATE(E$10,$A24),Lançamento!$D$2:$D$67) &lt;=0,IF(_xlfn.NUMBERVALUE(CONCATENATE(YEAR($A$10),MONTH($A$10)))&lt;_xlfn.NUMBERVALUE(CONCATENATE($B$2,MONTH(E$2))),VLOOKUP(Tabela6[[#This Row],[Coluna1]],Planodecontas[],3,FALSE),0), SUMIF(Lançamento!$A$2:$A$67,"="&amp;CONCATENATE(E$10,$A24),Lançamento!$D$2:$D$67))</f>
        <v>0</v>
      </c>
      <c r="F24" s="83">
        <f ca="1">IF(SUMIF(Lançamento!$A$2:$A$67,"="&amp;CONCATENATE(F$10,$A24),Lançamento!$D$2:$D$67) &lt;=0,IF(_xlfn.NUMBERVALUE(CONCATENATE(YEAR($A$10),MONTH($A$10)))&lt;_xlfn.NUMBERVALUE(CONCATENATE($B$2,MONTH(F$2))),VLOOKUP(Tabela6[[#This Row],[Coluna1]],Planodecontas[],3,FALSE),0), SUMIF(Lançamento!$A$2:$A$67,"="&amp;CONCATENATE(F$10,$A24),Lançamento!$D$2:$D$67))</f>
        <v>0</v>
      </c>
      <c r="G24" s="83">
        <f ca="1">IF(SUMIF(Lançamento!$A$2:$A$67,"="&amp;CONCATENATE(G$10,$A24),Lançamento!$D$2:$D$67) &lt;=0,IF(_xlfn.NUMBERVALUE(CONCATENATE(YEAR($A$10),MONTH($A$10)))&lt;_xlfn.NUMBERVALUE(CONCATENATE($B$2,MONTH(G$2))),VLOOKUP(Tabela6[[#This Row],[Coluna1]],Planodecontas[],3,FALSE),0), SUMIF(Lançamento!$A$2:$A$67,"="&amp;CONCATENATE(G$10,$A24),Lançamento!$D$2:$D$67))</f>
        <v>0</v>
      </c>
      <c r="H24" s="83">
        <f ca="1">IF(SUMIF(Lançamento!$A$2:$A$67,"="&amp;CONCATENATE(H$10,$A24),Lançamento!$D$2:$D$67) &lt;=0,IF(_xlfn.NUMBERVALUE(CONCATENATE(YEAR($A$10),MONTH($A$10)))&lt;_xlfn.NUMBERVALUE(CONCATENATE($B$2,MONTH(H$2))),VLOOKUP(Tabela6[[#This Row],[Coluna1]],Planodecontas[],3,FALSE),0), SUMIF(Lançamento!$A$2:$A$67,"="&amp;CONCATENATE(H$10,$A24),Lançamento!$D$2:$D$67))</f>
        <v>0</v>
      </c>
      <c r="I24" s="83">
        <f ca="1">IF(SUMIF(Lançamento!$A$2:$A$67,"="&amp;CONCATENATE(I$10,$A24),Lançamento!$D$2:$D$67) &lt;=0,IF(_xlfn.NUMBERVALUE(CONCATENATE(YEAR($A$10),MONTH($A$10)))&lt;_xlfn.NUMBERVALUE(CONCATENATE($B$2,MONTH(I$2))),VLOOKUP(Tabela6[[#This Row],[Coluna1]],Planodecontas[],3,FALSE),0), SUMIF(Lançamento!$A$2:$A$67,"="&amp;CONCATENATE(I$10,$A24),Lançamento!$D$2:$D$67))</f>
        <v>0</v>
      </c>
      <c r="J24" s="83">
        <f ca="1">IF(SUMIF(Lançamento!$A$2:$A$67,"="&amp;CONCATENATE(J$10,$A24),Lançamento!$D$2:$D$67) &lt;=0,IF(_xlfn.NUMBERVALUE(CONCATENATE(YEAR($A$10),MONTH($A$10)))&lt;_xlfn.NUMBERVALUE(CONCATENATE($B$2,MONTH(J$2))),VLOOKUP(Tabela6[[#This Row],[Coluna1]],Planodecontas[],3,FALSE),0), SUMIF(Lançamento!$A$2:$A$67,"="&amp;CONCATENATE(J$10,$A24),Lançamento!$D$2:$D$67))</f>
        <v>0</v>
      </c>
      <c r="K24" s="83">
        <f ca="1">IF(SUMIF(Lançamento!$A$2:$A$67,"="&amp;CONCATENATE(K$10,$A24),Lançamento!$D$2:$D$67) &lt;=0,IF(_xlfn.NUMBERVALUE(CONCATENATE(YEAR($A$10),MONTH($A$10)))&lt;_xlfn.NUMBERVALUE(CONCATENATE($B$2,MONTH(K$2))),VLOOKUP(Tabela6[[#This Row],[Coluna1]],Planodecontas[],3,FALSE),0), SUMIF(Lançamento!$A$2:$A$67,"="&amp;CONCATENATE(K$10,$A24),Lançamento!$D$2:$D$67))</f>
        <v>0</v>
      </c>
      <c r="L24" s="83">
        <f ca="1">IF(SUMIF(Lançamento!$A$2:$A$67,"="&amp;CONCATENATE(L$10,$A24),Lançamento!$D$2:$D$67) &lt;=0,IF(_xlfn.NUMBERVALUE(CONCATENATE(YEAR($A$10),MONTH($A$10)))&lt;_xlfn.NUMBERVALUE(CONCATENATE($B$2,MONTH(L$2))),VLOOKUP(Tabela6[[#This Row],[Coluna1]],Planodecontas[],3,FALSE),0), SUMIF(Lançamento!$A$2:$A$67,"="&amp;CONCATENATE(L$10,$A24),Lançamento!$D$2:$D$67))</f>
        <v>0</v>
      </c>
      <c r="M24" s="83">
        <f ca="1">IF(SUMIF(Lançamento!$A$2:$A$67,"="&amp;CONCATENATE(M$10,$A24),Lançamento!$D$2:$D$67) &lt;=0,IF(_xlfn.NUMBERVALUE(CONCATENATE(YEAR($A$10),MONTH($A$10)))&lt;_xlfn.NUMBERVALUE(CONCATENATE($B$2,MONTH(M$2))),VLOOKUP(Tabela6[[#This Row],[Coluna1]],Planodecontas[],3,FALSE),0), SUMIF(Lançamento!$A$2:$A$67,"="&amp;CONCATENATE(M$10,$A24),Lançamento!$D$2:$D$67))</f>
        <v>0</v>
      </c>
      <c r="N24" s="83">
        <f>IF(SUMIF(Lançamento!$A$2:$A$67,"="&amp;CONCATENATE(N$10,$A24),Lançamento!$D$2:$D$67) &lt;=0,IF(_xlfn.NUMBERVALUE(CONCATENATE(YEAR($A$10),MONTH($A$10)))&lt;_xlfn.NUMBERVALUE(CONCATENATE($B$2,MONTH(N$2))),VLOOKUP(Tabela6[[#This Row],[Coluna1]],Planodecontas[],3,FALSE),0), SUMIF(Lançamento!$A$2:$A$67,"="&amp;CONCATENATE(N$10,$A24),Lançamento!$D$2:$D$67))</f>
        <v>142.75</v>
      </c>
      <c r="O24" s="20">
        <f ca="1">SUM(Tabela6[[#This Row],[Coluna3]:[Coluna14]])</f>
        <v>142.75</v>
      </c>
    </row>
    <row r="25" spans="1:15" x14ac:dyDescent="0.25">
      <c r="A25" s="21" t="s">
        <v>36</v>
      </c>
      <c r="B25" s="22">
        <f>VLOOKUP(A25,Planodecontas[],3,FALSE)</f>
        <v>0</v>
      </c>
      <c r="C25" s="83">
        <f ca="1">IF(SUMIF(Lançamento!$A$2:$A$67,"="&amp;CONCATENATE(C$10,$A25),Lançamento!$D$2:$D$67) &lt;=0,IF(_xlfn.NUMBERVALUE(CONCATENATE(YEAR($A$10),MONTH($A$10)))&lt;_xlfn.NUMBERVALUE(CONCATENATE($B$2,MONTH(C$2))),VLOOKUP(Tabela6[[#This Row],[Coluna1]],Planodecontas[],3,FALSE),0), SUMIF(Lançamento!$A$2:$A$67,"="&amp;CONCATENATE(C$10,$A25),Lançamento!$D$2:$D$67))</f>
        <v>0</v>
      </c>
      <c r="D25" s="83">
        <f ca="1">IF(SUMIF(Lançamento!$A$2:$A$67,"="&amp;CONCATENATE(D$10,$A25),Lançamento!$D$2:$D$67) &lt;=0,IF(_xlfn.NUMBERVALUE(CONCATENATE(YEAR($A$10),MONTH($A$10)))&lt;_xlfn.NUMBERVALUE(CONCATENATE($B$2,MONTH(D$2))),VLOOKUP(Tabela6[[#This Row],[Coluna1]],Planodecontas[],3,FALSE),0), SUMIF(Lançamento!$A$2:$A$67,"="&amp;CONCATENATE(D$10,$A25),Lançamento!$D$2:$D$67))</f>
        <v>0</v>
      </c>
      <c r="E25" s="83">
        <f ca="1">IF(SUMIF(Lançamento!$A$2:$A$67,"="&amp;CONCATENATE(E$10,$A25),Lançamento!$D$2:$D$67) &lt;=0,IF(_xlfn.NUMBERVALUE(CONCATENATE(YEAR($A$10),MONTH($A$10)))&lt;_xlfn.NUMBERVALUE(CONCATENATE($B$2,MONTH(E$2))),VLOOKUP(Tabela6[[#This Row],[Coluna1]],Planodecontas[],3,FALSE),0), SUMIF(Lançamento!$A$2:$A$67,"="&amp;CONCATENATE(E$10,$A25),Lançamento!$D$2:$D$67))</f>
        <v>0</v>
      </c>
      <c r="F25" s="83">
        <f ca="1">IF(SUMIF(Lançamento!$A$2:$A$67,"="&amp;CONCATENATE(F$10,$A25),Lançamento!$D$2:$D$67) &lt;=0,IF(_xlfn.NUMBERVALUE(CONCATENATE(YEAR($A$10),MONTH($A$10)))&lt;_xlfn.NUMBERVALUE(CONCATENATE($B$2,MONTH(F$2))),VLOOKUP(Tabela6[[#This Row],[Coluna1]],Planodecontas[],3,FALSE),0), SUMIF(Lançamento!$A$2:$A$67,"="&amp;CONCATENATE(F$10,$A25),Lançamento!$D$2:$D$67))</f>
        <v>0</v>
      </c>
      <c r="G25" s="83">
        <f ca="1">IF(SUMIF(Lançamento!$A$2:$A$67,"="&amp;CONCATENATE(G$10,$A25),Lançamento!$D$2:$D$67) &lt;=0,IF(_xlfn.NUMBERVALUE(CONCATENATE(YEAR($A$10),MONTH($A$10)))&lt;_xlfn.NUMBERVALUE(CONCATENATE($B$2,MONTH(G$2))),VLOOKUP(Tabela6[[#This Row],[Coluna1]],Planodecontas[],3,FALSE),0), SUMIF(Lançamento!$A$2:$A$67,"="&amp;CONCATENATE(G$10,$A25),Lançamento!$D$2:$D$67))</f>
        <v>0</v>
      </c>
      <c r="H25" s="83">
        <f ca="1">IF(SUMIF(Lançamento!$A$2:$A$67,"="&amp;CONCATENATE(H$10,$A25),Lançamento!$D$2:$D$67) &lt;=0,IF(_xlfn.NUMBERVALUE(CONCATENATE(YEAR($A$10),MONTH($A$10)))&lt;_xlfn.NUMBERVALUE(CONCATENATE($B$2,MONTH(H$2))),VLOOKUP(Tabela6[[#This Row],[Coluna1]],Planodecontas[],3,FALSE),0), SUMIF(Lançamento!$A$2:$A$67,"="&amp;CONCATENATE(H$10,$A25),Lançamento!$D$2:$D$67))</f>
        <v>0</v>
      </c>
      <c r="I25" s="83">
        <f ca="1">IF(SUMIF(Lançamento!$A$2:$A$67,"="&amp;CONCATENATE(I$10,$A25),Lançamento!$D$2:$D$67) &lt;=0,IF(_xlfn.NUMBERVALUE(CONCATENATE(YEAR($A$10),MONTH($A$10)))&lt;_xlfn.NUMBERVALUE(CONCATENATE($B$2,MONTH(I$2))),VLOOKUP(Tabela6[[#This Row],[Coluna1]],Planodecontas[],3,FALSE),0), SUMIF(Lançamento!$A$2:$A$67,"="&amp;CONCATENATE(I$10,$A25),Lançamento!$D$2:$D$67))</f>
        <v>0</v>
      </c>
      <c r="J25" s="83">
        <f ca="1">IF(SUMIF(Lançamento!$A$2:$A$67,"="&amp;CONCATENATE(J$10,$A25),Lançamento!$D$2:$D$67) &lt;=0,IF(_xlfn.NUMBERVALUE(CONCATENATE(YEAR($A$10),MONTH($A$10)))&lt;_xlfn.NUMBERVALUE(CONCATENATE($B$2,MONTH(J$2))),VLOOKUP(Tabela6[[#This Row],[Coluna1]],Planodecontas[],3,FALSE),0), SUMIF(Lançamento!$A$2:$A$67,"="&amp;CONCATENATE(J$10,$A25),Lançamento!$D$2:$D$67))</f>
        <v>0</v>
      </c>
      <c r="K25" s="83">
        <f ca="1">IF(SUMIF(Lançamento!$A$2:$A$67,"="&amp;CONCATENATE(K$10,$A25),Lançamento!$D$2:$D$67) &lt;=0,IF(_xlfn.NUMBERVALUE(CONCATENATE(YEAR($A$10),MONTH($A$10)))&lt;_xlfn.NUMBERVALUE(CONCATENATE($B$2,MONTH(K$2))),VLOOKUP(Tabela6[[#This Row],[Coluna1]],Planodecontas[],3,FALSE),0), SUMIF(Lançamento!$A$2:$A$67,"="&amp;CONCATENATE(K$10,$A25),Lançamento!$D$2:$D$67))</f>
        <v>0</v>
      </c>
      <c r="L25" s="83">
        <f ca="1">IF(SUMIF(Lançamento!$A$2:$A$67,"="&amp;CONCATENATE(L$10,$A25),Lançamento!$D$2:$D$67) &lt;=0,IF(_xlfn.NUMBERVALUE(CONCATENATE(YEAR($A$10),MONTH($A$10)))&lt;_xlfn.NUMBERVALUE(CONCATENATE($B$2,MONTH(L$2))),VLOOKUP(Tabela6[[#This Row],[Coluna1]],Planodecontas[],3,FALSE),0), SUMIF(Lançamento!$A$2:$A$67,"="&amp;CONCATENATE(L$10,$A25),Lançamento!$D$2:$D$67))</f>
        <v>0</v>
      </c>
      <c r="M25" s="83">
        <f ca="1">IF(SUMIF(Lançamento!$A$2:$A$67,"="&amp;CONCATENATE(M$10,$A25),Lançamento!$D$2:$D$67) &lt;=0,IF(_xlfn.NUMBERVALUE(CONCATENATE(YEAR($A$10),MONTH($A$10)))&lt;_xlfn.NUMBERVALUE(CONCATENATE($B$2,MONTH(M$2))),VLOOKUP(Tabela6[[#This Row],[Coluna1]],Planodecontas[],3,FALSE),0), SUMIF(Lançamento!$A$2:$A$67,"="&amp;CONCATENATE(M$10,$A25),Lançamento!$D$2:$D$67))</f>
        <v>0</v>
      </c>
      <c r="N25" s="83">
        <f>IF(SUMIF(Lançamento!$A$2:$A$67,"="&amp;CONCATENATE(N$10,$A25),Lançamento!$D$2:$D$67) &lt;=0,IF(_xlfn.NUMBERVALUE(CONCATENATE(YEAR($A$10),MONTH($A$10)))&lt;_xlfn.NUMBERVALUE(CONCATENATE($B$2,MONTH(N$2))),VLOOKUP(Tabela6[[#This Row],[Coluna1]],Planodecontas[],3,FALSE),0), SUMIF(Lançamento!$A$2:$A$67,"="&amp;CONCATENATE(N$10,$A25),Lançamento!$D$2:$D$67))</f>
        <v>90.75</v>
      </c>
      <c r="O25" s="20">
        <f ca="1">SUM(Tabela6[[#This Row],[Coluna3]:[Coluna14]])</f>
        <v>90.75</v>
      </c>
    </row>
    <row r="26" spans="1:15" x14ac:dyDescent="0.25">
      <c r="A26" s="21" t="s">
        <v>67</v>
      </c>
      <c r="B26" s="22">
        <f>VLOOKUP(A26,Planodecontas[],3,FALSE)</f>
        <v>0</v>
      </c>
      <c r="C26" s="83">
        <f ca="1">IF(SUMIF(Lançamento!$A$2:$A$67,"="&amp;CONCATENATE(C$10,$A26),Lançamento!$D$2:$D$67) &lt;=0,IF(_xlfn.NUMBERVALUE(CONCATENATE(YEAR($A$10),MONTH($A$10)))&lt;_xlfn.NUMBERVALUE(CONCATENATE($B$2,MONTH(C$2))),VLOOKUP(Tabela6[[#This Row],[Coluna1]],Planodecontas[],3,FALSE),0), SUMIF(Lançamento!$A$2:$A$67,"="&amp;CONCATENATE(C$10,$A26),Lançamento!$D$2:$D$67))</f>
        <v>0</v>
      </c>
      <c r="D26" s="83">
        <f ca="1">IF(SUMIF(Lançamento!$A$2:$A$67,"="&amp;CONCATENATE(D$10,$A26),Lançamento!$D$2:$D$67) &lt;=0,IF(_xlfn.NUMBERVALUE(CONCATENATE(YEAR($A$10),MONTH($A$10)))&lt;_xlfn.NUMBERVALUE(CONCATENATE($B$2,MONTH(D$2))),VLOOKUP(Tabela6[[#This Row],[Coluna1]],Planodecontas[],3,FALSE),0), SUMIF(Lançamento!$A$2:$A$67,"="&amp;CONCATENATE(D$10,$A26),Lançamento!$D$2:$D$67))</f>
        <v>0</v>
      </c>
      <c r="E26" s="83">
        <f ca="1">IF(SUMIF(Lançamento!$A$2:$A$67,"="&amp;CONCATENATE(E$10,$A26),Lançamento!$D$2:$D$67) &lt;=0,IF(_xlfn.NUMBERVALUE(CONCATENATE(YEAR($A$10),MONTH($A$10)))&lt;_xlfn.NUMBERVALUE(CONCATENATE($B$2,MONTH(E$2))),VLOOKUP(Tabela6[[#This Row],[Coluna1]],Planodecontas[],3,FALSE),0), SUMIF(Lançamento!$A$2:$A$67,"="&amp;CONCATENATE(E$10,$A26),Lançamento!$D$2:$D$67))</f>
        <v>0</v>
      </c>
      <c r="F26" s="83">
        <f ca="1">IF(SUMIF(Lançamento!$A$2:$A$67,"="&amp;CONCATENATE(F$10,$A26),Lançamento!$D$2:$D$67) &lt;=0,IF(_xlfn.NUMBERVALUE(CONCATENATE(YEAR($A$10),MONTH($A$10)))&lt;_xlfn.NUMBERVALUE(CONCATENATE($B$2,MONTH(F$2))),VLOOKUP(Tabela6[[#This Row],[Coluna1]],Planodecontas[],3,FALSE),0), SUMIF(Lançamento!$A$2:$A$67,"="&amp;CONCATENATE(F$10,$A26),Lançamento!$D$2:$D$67))</f>
        <v>0</v>
      </c>
      <c r="G26" s="83">
        <f ca="1">IF(SUMIF(Lançamento!$A$2:$A$67,"="&amp;CONCATENATE(G$10,$A26),Lançamento!$D$2:$D$67) &lt;=0,IF(_xlfn.NUMBERVALUE(CONCATENATE(YEAR($A$10),MONTH($A$10)))&lt;_xlfn.NUMBERVALUE(CONCATENATE($B$2,MONTH(G$2))),VLOOKUP(Tabela6[[#This Row],[Coluna1]],Planodecontas[],3,FALSE),0), SUMIF(Lançamento!$A$2:$A$67,"="&amp;CONCATENATE(G$10,$A26),Lançamento!$D$2:$D$67))</f>
        <v>0</v>
      </c>
      <c r="H26" s="83">
        <f ca="1">IF(SUMIF(Lançamento!$A$2:$A$67,"="&amp;CONCATENATE(H$10,$A26),Lançamento!$D$2:$D$67) &lt;=0,IF(_xlfn.NUMBERVALUE(CONCATENATE(YEAR($A$10),MONTH($A$10)))&lt;_xlfn.NUMBERVALUE(CONCATENATE($B$2,MONTH(H$2))),VLOOKUP(Tabela6[[#This Row],[Coluna1]],Planodecontas[],3,FALSE),0), SUMIF(Lançamento!$A$2:$A$67,"="&amp;CONCATENATE(H$10,$A26),Lançamento!$D$2:$D$67))</f>
        <v>0</v>
      </c>
      <c r="I26" s="83">
        <f ca="1">IF(SUMIF(Lançamento!$A$2:$A$67,"="&amp;CONCATENATE(I$10,$A26),Lançamento!$D$2:$D$67) &lt;=0,IF(_xlfn.NUMBERVALUE(CONCATENATE(YEAR($A$10),MONTH($A$10)))&lt;_xlfn.NUMBERVALUE(CONCATENATE($B$2,MONTH(I$2))),VLOOKUP(Tabela6[[#This Row],[Coluna1]],Planodecontas[],3,FALSE),0), SUMIF(Lançamento!$A$2:$A$67,"="&amp;CONCATENATE(I$10,$A26),Lançamento!$D$2:$D$67))</f>
        <v>0</v>
      </c>
      <c r="J26" s="83">
        <f ca="1">IF(SUMIF(Lançamento!$A$2:$A$67,"="&amp;CONCATENATE(J$10,$A26),Lançamento!$D$2:$D$67) &lt;=0,IF(_xlfn.NUMBERVALUE(CONCATENATE(YEAR($A$10),MONTH($A$10)))&lt;_xlfn.NUMBERVALUE(CONCATENATE($B$2,MONTH(J$2))),VLOOKUP(Tabela6[[#This Row],[Coluna1]],Planodecontas[],3,FALSE),0), SUMIF(Lançamento!$A$2:$A$67,"="&amp;CONCATENATE(J$10,$A26),Lançamento!$D$2:$D$67))</f>
        <v>0</v>
      </c>
      <c r="K26" s="83">
        <f ca="1">IF(SUMIF(Lançamento!$A$2:$A$67,"="&amp;CONCATENATE(K$10,$A26),Lançamento!$D$2:$D$67) &lt;=0,IF(_xlfn.NUMBERVALUE(CONCATENATE(YEAR($A$10),MONTH($A$10)))&lt;_xlfn.NUMBERVALUE(CONCATENATE($B$2,MONTH(K$2))),VLOOKUP(Tabela6[[#This Row],[Coluna1]],Planodecontas[],3,FALSE),0), SUMIF(Lançamento!$A$2:$A$67,"="&amp;CONCATENATE(K$10,$A26),Lançamento!$D$2:$D$67))</f>
        <v>0</v>
      </c>
      <c r="L26" s="83">
        <f ca="1">IF(SUMIF(Lançamento!$A$2:$A$67,"="&amp;CONCATENATE(L$10,$A26),Lançamento!$D$2:$D$67) &lt;=0,IF(_xlfn.NUMBERVALUE(CONCATENATE(YEAR($A$10),MONTH($A$10)))&lt;_xlfn.NUMBERVALUE(CONCATENATE($B$2,MONTH(L$2))),VLOOKUP(Tabela6[[#This Row],[Coluna1]],Planodecontas[],3,FALSE),0), SUMIF(Lançamento!$A$2:$A$67,"="&amp;CONCATENATE(L$10,$A26),Lançamento!$D$2:$D$67))</f>
        <v>0</v>
      </c>
      <c r="M26" s="83">
        <f ca="1">IF(SUMIF(Lançamento!$A$2:$A$67,"="&amp;CONCATENATE(M$10,$A26),Lançamento!$D$2:$D$67) &lt;=0,IF(_xlfn.NUMBERVALUE(CONCATENATE(YEAR($A$10),MONTH($A$10)))&lt;_xlfn.NUMBERVALUE(CONCATENATE($B$2,MONTH(M$2))),VLOOKUP(Tabela6[[#This Row],[Coluna1]],Planodecontas[],3,FALSE),0), SUMIF(Lançamento!$A$2:$A$67,"="&amp;CONCATENATE(M$10,$A26),Lançamento!$D$2:$D$67))</f>
        <v>0</v>
      </c>
      <c r="N26" s="83">
        <f>IF(SUMIF(Lançamento!$A$2:$A$67,"="&amp;CONCATENATE(N$10,$A26),Lançamento!$D$2:$D$67) &lt;=0,IF(_xlfn.NUMBERVALUE(CONCATENATE(YEAR($A$10),MONTH($A$10)))&lt;_xlfn.NUMBERVALUE(CONCATENATE($B$2,MONTH(N$2))),VLOOKUP(Tabela6[[#This Row],[Coluna1]],Planodecontas[],3,FALSE),0), SUMIF(Lançamento!$A$2:$A$67,"="&amp;CONCATENATE(N$10,$A26),Lançamento!$D$2:$D$67))</f>
        <v>99.9</v>
      </c>
      <c r="O26" s="20">
        <f ca="1">SUM(Tabela6[[#This Row],[Coluna3]:[Coluna14]])</f>
        <v>99.9</v>
      </c>
    </row>
    <row r="27" spans="1:15" x14ac:dyDescent="0.25">
      <c r="A27" s="21" t="s">
        <v>37</v>
      </c>
      <c r="B27" s="22">
        <f>VLOOKUP(A27,Planodecontas[],3,FALSE)</f>
        <v>0</v>
      </c>
      <c r="C27" s="83">
        <f ca="1">IF(SUMIF(Lançamento!$A$2:$A$67,"="&amp;CONCATENATE(C$10,$A27),Lançamento!$D$2:$D$67) &lt;=0,IF(_xlfn.NUMBERVALUE(CONCATENATE(YEAR($A$10),MONTH($A$10)))&lt;_xlfn.NUMBERVALUE(CONCATENATE($B$2,MONTH(C$2))),VLOOKUP(Tabela6[[#This Row],[Coluna1]],Planodecontas[],3,FALSE),0), SUMIF(Lançamento!$A$2:$A$67,"="&amp;CONCATENATE(C$10,$A27),Lançamento!$D$2:$D$67))</f>
        <v>0</v>
      </c>
      <c r="D27" s="83">
        <f ca="1">IF(SUMIF(Lançamento!$A$2:$A$67,"="&amp;CONCATENATE(D$10,$A27),Lançamento!$D$2:$D$67) &lt;=0,IF(_xlfn.NUMBERVALUE(CONCATENATE(YEAR($A$10),MONTH($A$10)))&lt;_xlfn.NUMBERVALUE(CONCATENATE($B$2,MONTH(D$2))),VLOOKUP(Tabela6[[#This Row],[Coluna1]],Planodecontas[],3,FALSE),0), SUMIF(Lançamento!$A$2:$A$67,"="&amp;CONCATENATE(D$10,$A27),Lançamento!$D$2:$D$67))</f>
        <v>0</v>
      </c>
      <c r="E27" s="83">
        <f ca="1">IF(SUMIF(Lançamento!$A$2:$A$67,"="&amp;CONCATENATE(E$10,$A27),Lançamento!$D$2:$D$67) &lt;=0,IF(_xlfn.NUMBERVALUE(CONCATENATE(YEAR($A$10),MONTH($A$10)))&lt;_xlfn.NUMBERVALUE(CONCATENATE($B$2,MONTH(E$2))),VLOOKUP(Tabela6[[#This Row],[Coluna1]],Planodecontas[],3,FALSE),0), SUMIF(Lançamento!$A$2:$A$67,"="&amp;CONCATENATE(E$10,$A27),Lançamento!$D$2:$D$67))</f>
        <v>0</v>
      </c>
      <c r="F27" s="83">
        <f ca="1">IF(SUMIF(Lançamento!$A$2:$A$67,"="&amp;CONCATENATE(F$10,$A27),Lançamento!$D$2:$D$67) &lt;=0,IF(_xlfn.NUMBERVALUE(CONCATENATE(YEAR($A$10),MONTH($A$10)))&lt;_xlfn.NUMBERVALUE(CONCATENATE($B$2,MONTH(F$2))),VLOOKUP(Tabela6[[#This Row],[Coluna1]],Planodecontas[],3,FALSE),0), SUMIF(Lançamento!$A$2:$A$67,"="&amp;CONCATENATE(F$10,$A27),Lançamento!$D$2:$D$67))</f>
        <v>0</v>
      </c>
      <c r="G27" s="83">
        <f ca="1">IF(SUMIF(Lançamento!$A$2:$A$67,"="&amp;CONCATENATE(G$10,$A27),Lançamento!$D$2:$D$67) &lt;=0,IF(_xlfn.NUMBERVALUE(CONCATENATE(YEAR($A$10),MONTH($A$10)))&lt;_xlfn.NUMBERVALUE(CONCATENATE($B$2,MONTH(G$2))),VLOOKUP(Tabela6[[#This Row],[Coluna1]],Planodecontas[],3,FALSE),0), SUMIF(Lançamento!$A$2:$A$67,"="&amp;CONCATENATE(G$10,$A27),Lançamento!$D$2:$D$67))</f>
        <v>0</v>
      </c>
      <c r="H27" s="83">
        <f ca="1">IF(SUMIF(Lançamento!$A$2:$A$67,"="&amp;CONCATENATE(H$10,$A27),Lançamento!$D$2:$D$67) &lt;=0,IF(_xlfn.NUMBERVALUE(CONCATENATE(YEAR($A$10),MONTH($A$10)))&lt;_xlfn.NUMBERVALUE(CONCATENATE($B$2,MONTH(H$2))),VLOOKUP(Tabela6[[#This Row],[Coluna1]],Planodecontas[],3,FALSE),0), SUMIF(Lançamento!$A$2:$A$67,"="&amp;CONCATENATE(H$10,$A27),Lançamento!$D$2:$D$67))</f>
        <v>0</v>
      </c>
      <c r="I27" s="83">
        <f ca="1">IF(SUMIF(Lançamento!$A$2:$A$67,"="&amp;CONCATENATE(I$10,$A27),Lançamento!$D$2:$D$67) &lt;=0,IF(_xlfn.NUMBERVALUE(CONCATENATE(YEAR($A$10),MONTH($A$10)))&lt;_xlfn.NUMBERVALUE(CONCATENATE($B$2,MONTH(I$2))),VLOOKUP(Tabela6[[#This Row],[Coluna1]],Planodecontas[],3,FALSE),0), SUMIF(Lançamento!$A$2:$A$67,"="&amp;CONCATENATE(I$10,$A27),Lançamento!$D$2:$D$67))</f>
        <v>0</v>
      </c>
      <c r="J27" s="83">
        <f ca="1">IF(SUMIF(Lançamento!$A$2:$A$67,"="&amp;CONCATENATE(J$10,$A27),Lançamento!$D$2:$D$67) &lt;=0,IF(_xlfn.NUMBERVALUE(CONCATENATE(YEAR($A$10),MONTH($A$10)))&lt;_xlfn.NUMBERVALUE(CONCATENATE($B$2,MONTH(J$2))),VLOOKUP(Tabela6[[#This Row],[Coluna1]],Planodecontas[],3,FALSE),0), SUMIF(Lançamento!$A$2:$A$67,"="&amp;CONCATENATE(J$10,$A27),Lançamento!$D$2:$D$67))</f>
        <v>0</v>
      </c>
      <c r="K27" s="83">
        <f ca="1">IF(SUMIF(Lançamento!$A$2:$A$67,"="&amp;CONCATENATE(K$10,$A27),Lançamento!$D$2:$D$67) &lt;=0,IF(_xlfn.NUMBERVALUE(CONCATENATE(YEAR($A$10),MONTH($A$10)))&lt;_xlfn.NUMBERVALUE(CONCATENATE($B$2,MONTH(K$2))),VLOOKUP(Tabela6[[#This Row],[Coluna1]],Planodecontas[],3,FALSE),0), SUMIF(Lançamento!$A$2:$A$67,"="&amp;CONCATENATE(K$10,$A27),Lançamento!$D$2:$D$67))</f>
        <v>0</v>
      </c>
      <c r="L27" s="83">
        <f ca="1">IF(SUMIF(Lançamento!$A$2:$A$67,"="&amp;CONCATENATE(L$10,$A27),Lançamento!$D$2:$D$67) &lt;=0,IF(_xlfn.NUMBERVALUE(CONCATENATE(YEAR($A$10),MONTH($A$10)))&lt;_xlfn.NUMBERVALUE(CONCATENATE($B$2,MONTH(L$2))),VLOOKUP(Tabela6[[#This Row],[Coluna1]],Planodecontas[],3,FALSE),0), SUMIF(Lançamento!$A$2:$A$67,"="&amp;CONCATENATE(L$10,$A27),Lançamento!$D$2:$D$67))</f>
        <v>0</v>
      </c>
      <c r="M27" s="83">
        <f ca="1">IF(SUMIF(Lançamento!$A$2:$A$67,"="&amp;CONCATENATE(M$10,$A27),Lançamento!$D$2:$D$67) &lt;=0,IF(_xlfn.NUMBERVALUE(CONCATENATE(YEAR($A$10),MONTH($A$10)))&lt;_xlfn.NUMBERVALUE(CONCATENATE($B$2,MONTH(M$2))),VLOOKUP(Tabela6[[#This Row],[Coluna1]],Planodecontas[],3,FALSE),0), SUMIF(Lançamento!$A$2:$A$67,"="&amp;CONCATENATE(M$10,$A27),Lançamento!$D$2:$D$67))</f>
        <v>0</v>
      </c>
      <c r="N27" s="83">
        <f>IF(SUMIF(Lançamento!$A$2:$A$67,"="&amp;CONCATENATE(N$10,$A27),Lançamento!$D$2:$D$67) &lt;=0,IF(_xlfn.NUMBERVALUE(CONCATENATE(YEAR($A$10),MONTH($A$10)))&lt;_xlfn.NUMBERVALUE(CONCATENATE($B$2,MONTH(N$2))),VLOOKUP(Tabela6[[#This Row],[Coluna1]],Planodecontas[],3,FALSE),0), SUMIF(Lançamento!$A$2:$A$67,"="&amp;CONCATENATE(N$10,$A27),Lançamento!$D$2:$D$67))</f>
        <v>278</v>
      </c>
      <c r="O27" s="20">
        <f ca="1">SUM(Tabela6[[#This Row],[Coluna3]:[Coluna14]])</f>
        <v>278</v>
      </c>
    </row>
    <row r="28" spans="1:15" x14ac:dyDescent="0.25">
      <c r="A28" s="21" t="s">
        <v>38</v>
      </c>
      <c r="B28" s="22">
        <f>VLOOKUP(A28,Planodecontas[],3,FALSE)</f>
        <v>0</v>
      </c>
      <c r="C28" s="83">
        <f ca="1">IF(SUMIF(Lançamento!$A$2:$A$67,"="&amp;CONCATENATE(C$10,$A28),Lançamento!$D$2:$D$67) &lt;=0,IF(_xlfn.NUMBERVALUE(CONCATENATE(YEAR($A$10),MONTH($A$10)))&lt;_xlfn.NUMBERVALUE(CONCATENATE($B$2,MONTH(C$2))),VLOOKUP(Tabela6[[#This Row],[Coluna1]],Planodecontas[],3,FALSE),0), SUMIF(Lançamento!$A$2:$A$67,"="&amp;CONCATENATE(C$10,$A28),Lançamento!$D$2:$D$67))</f>
        <v>0</v>
      </c>
      <c r="D28" s="83">
        <f ca="1">IF(SUMIF(Lançamento!$A$2:$A$67,"="&amp;CONCATENATE(D$10,$A28),Lançamento!$D$2:$D$67) &lt;=0,IF(_xlfn.NUMBERVALUE(CONCATENATE(YEAR($A$10),MONTH($A$10)))&lt;_xlfn.NUMBERVALUE(CONCATENATE($B$2,MONTH(D$2))),VLOOKUP(Tabela6[[#This Row],[Coluna1]],Planodecontas[],3,FALSE),0), SUMIF(Lançamento!$A$2:$A$67,"="&amp;CONCATENATE(D$10,$A28),Lançamento!$D$2:$D$67))</f>
        <v>0</v>
      </c>
      <c r="E28" s="83">
        <f ca="1">IF(SUMIF(Lançamento!$A$2:$A$67,"="&amp;CONCATENATE(E$10,$A28),Lançamento!$D$2:$D$67) &lt;=0,IF(_xlfn.NUMBERVALUE(CONCATENATE(YEAR($A$10),MONTH($A$10)))&lt;_xlfn.NUMBERVALUE(CONCATENATE($B$2,MONTH(E$2))),VLOOKUP(Tabela6[[#This Row],[Coluna1]],Planodecontas[],3,FALSE),0), SUMIF(Lançamento!$A$2:$A$67,"="&amp;CONCATENATE(E$10,$A28),Lançamento!$D$2:$D$67))</f>
        <v>0</v>
      </c>
      <c r="F28" s="83">
        <f ca="1">IF(SUMIF(Lançamento!$A$2:$A$67,"="&amp;CONCATENATE(F$10,$A28),Lançamento!$D$2:$D$67) &lt;=0,IF(_xlfn.NUMBERVALUE(CONCATENATE(YEAR($A$10),MONTH($A$10)))&lt;_xlfn.NUMBERVALUE(CONCATENATE($B$2,MONTH(F$2))),VLOOKUP(Tabela6[[#This Row],[Coluna1]],Planodecontas[],3,FALSE),0), SUMIF(Lançamento!$A$2:$A$67,"="&amp;CONCATENATE(F$10,$A28),Lançamento!$D$2:$D$67))</f>
        <v>0</v>
      </c>
      <c r="G28" s="83">
        <f ca="1">IF(SUMIF(Lançamento!$A$2:$A$67,"="&amp;CONCATENATE(G$10,$A28),Lançamento!$D$2:$D$67) &lt;=0,IF(_xlfn.NUMBERVALUE(CONCATENATE(YEAR($A$10),MONTH($A$10)))&lt;_xlfn.NUMBERVALUE(CONCATENATE($B$2,MONTH(G$2))),VLOOKUP(Tabela6[[#This Row],[Coluna1]],Planodecontas[],3,FALSE),0), SUMIF(Lançamento!$A$2:$A$67,"="&amp;CONCATENATE(G$10,$A28),Lançamento!$D$2:$D$67))</f>
        <v>0</v>
      </c>
      <c r="H28" s="83">
        <f ca="1">IF(SUMIF(Lançamento!$A$2:$A$67,"="&amp;CONCATENATE(H$10,$A28),Lançamento!$D$2:$D$67) &lt;=0,IF(_xlfn.NUMBERVALUE(CONCATENATE(YEAR($A$10),MONTH($A$10)))&lt;_xlfn.NUMBERVALUE(CONCATENATE($B$2,MONTH(H$2))),VLOOKUP(Tabela6[[#This Row],[Coluna1]],Planodecontas[],3,FALSE),0), SUMIF(Lançamento!$A$2:$A$67,"="&amp;CONCATENATE(H$10,$A28),Lançamento!$D$2:$D$67))</f>
        <v>0</v>
      </c>
      <c r="I28" s="83">
        <f ca="1">IF(SUMIF(Lançamento!$A$2:$A$67,"="&amp;CONCATENATE(I$10,$A28),Lançamento!$D$2:$D$67) &lt;=0,IF(_xlfn.NUMBERVALUE(CONCATENATE(YEAR($A$10),MONTH($A$10)))&lt;_xlfn.NUMBERVALUE(CONCATENATE($B$2,MONTH(I$2))),VLOOKUP(Tabela6[[#This Row],[Coluna1]],Planodecontas[],3,FALSE),0), SUMIF(Lançamento!$A$2:$A$67,"="&amp;CONCATENATE(I$10,$A28),Lançamento!$D$2:$D$67))</f>
        <v>0</v>
      </c>
      <c r="J28" s="83">
        <f ca="1">IF(SUMIF(Lançamento!$A$2:$A$67,"="&amp;CONCATENATE(J$10,$A28),Lançamento!$D$2:$D$67) &lt;=0,IF(_xlfn.NUMBERVALUE(CONCATENATE(YEAR($A$10),MONTH($A$10)))&lt;_xlfn.NUMBERVALUE(CONCATENATE($B$2,MONTH(J$2))),VLOOKUP(Tabela6[[#This Row],[Coluna1]],Planodecontas[],3,FALSE),0), SUMIF(Lançamento!$A$2:$A$67,"="&amp;CONCATENATE(J$10,$A28),Lançamento!$D$2:$D$67))</f>
        <v>0</v>
      </c>
      <c r="K28" s="83">
        <f ca="1">IF(SUMIF(Lançamento!$A$2:$A$67,"="&amp;CONCATENATE(K$10,$A28),Lançamento!$D$2:$D$67) &lt;=0,IF(_xlfn.NUMBERVALUE(CONCATENATE(YEAR($A$10),MONTH($A$10)))&lt;_xlfn.NUMBERVALUE(CONCATENATE($B$2,MONTH(K$2))),VLOOKUP(Tabela6[[#This Row],[Coluna1]],Planodecontas[],3,FALSE),0), SUMIF(Lançamento!$A$2:$A$67,"="&amp;CONCATENATE(K$10,$A28),Lançamento!$D$2:$D$67))</f>
        <v>0</v>
      </c>
      <c r="L28" s="83">
        <f ca="1">IF(SUMIF(Lançamento!$A$2:$A$67,"="&amp;CONCATENATE(L$10,$A28),Lançamento!$D$2:$D$67) &lt;=0,IF(_xlfn.NUMBERVALUE(CONCATENATE(YEAR($A$10),MONTH($A$10)))&lt;_xlfn.NUMBERVALUE(CONCATENATE($B$2,MONTH(L$2))),VLOOKUP(Tabela6[[#This Row],[Coluna1]],Planodecontas[],3,FALSE),0), SUMIF(Lançamento!$A$2:$A$67,"="&amp;CONCATENATE(L$10,$A28),Lançamento!$D$2:$D$67))</f>
        <v>0</v>
      </c>
      <c r="M28" s="83">
        <f ca="1">IF(SUMIF(Lançamento!$A$2:$A$67,"="&amp;CONCATENATE(M$10,$A28),Lançamento!$D$2:$D$67) &lt;=0,IF(_xlfn.NUMBERVALUE(CONCATENATE(YEAR($A$10),MONTH($A$10)))&lt;_xlfn.NUMBERVALUE(CONCATENATE($B$2,MONTH(M$2))),VLOOKUP(Tabela6[[#This Row],[Coluna1]],Planodecontas[],3,FALSE),0), SUMIF(Lançamento!$A$2:$A$67,"="&amp;CONCATENATE(M$10,$A28),Lançamento!$D$2:$D$67))</f>
        <v>0</v>
      </c>
      <c r="N28" s="83">
        <f>IF(SUMIF(Lançamento!$A$2:$A$67,"="&amp;CONCATENATE(N$10,$A28),Lançamento!$D$2:$D$67) &lt;=0,IF(_xlfn.NUMBERVALUE(CONCATENATE(YEAR($A$10),MONTH($A$10)))&lt;_xlfn.NUMBERVALUE(CONCATENATE($B$2,MONTH(N$2))),VLOOKUP(Tabela6[[#This Row],[Coluna1]],Planodecontas[],3,FALSE),0), SUMIF(Lançamento!$A$2:$A$67,"="&amp;CONCATENATE(N$10,$A28),Lançamento!$D$2:$D$67))</f>
        <v>100.87</v>
      </c>
      <c r="O28" s="20">
        <f ca="1">SUM(Tabela6[[#This Row],[Coluna3]:[Coluna14]])</f>
        <v>100.87</v>
      </c>
    </row>
    <row r="29" spans="1:15" x14ac:dyDescent="0.25">
      <c r="A29" s="21" t="s">
        <v>68</v>
      </c>
      <c r="B29" s="22">
        <f>VLOOKUP(A29,Planodecontas[],3,FALSE)</f>
        <v>0</v>
      </c>
      <c r="C29" s="83">
        <f ca="1">IF(SUMIF(Lançamento!$A$2:$A$67,"="&amp;CONCATENATE(C$10,$A29),Lançamento!$D$2:$D$67) &lt;=0,IF(_xlfn.NUMBERVALUE(CONCATENATE(YEAR($A$10),MONTH($A$10)))&lt;_xlfn.NUMBERVALUE(CONCATENATE($B$2,MONTH(C$2))),VLOOKUP(Tabela6[[#This Row],[Coluna1]],Planodecontas[],3,FALSE),0), SUMIF(Lançamento!$A$2:$A$67,"="&amp;CONCATENATE(C$10,$A29),Lançamento!$D$2:$D$67))</f>
        <v>0</v>
      </c>
      <c r="D29" s="83">
        <f ca="1">IF(SUMIF(Lançamento!$A$2:$A$67,"="&amp;CONCATENATE(D$10,$A29),Lançamento!$D$2:$D$67) &lt;=0,IF(_xlfn.NUMBERVALUE(CONCATENATE(YEAR($A$10),MONTH($A$10)))&lt;_xlfn.NUMBERVALUE(CONCATENATE($B$2,MONTH(D$2))),VLOOKUP(Tabela6[[#This Row],[Coluna1]],Planodecontas[],3,FALSE),0), SUMIF(Lançamento!$A$2:$A$67,"="&amp;CONCATENATE(D$10,$A29),Lançamento!$D$2:$D$67))</f>
        <v>0</v>
      </c>
      <c r="E29" s="83">
        <f ca="1">IF(SUMIF(Lançamento!$A$2:$A$67,"="&amp;CONCATENATE(E$10,$A29),Lançamento!$D$2:$D$67) &lt;=0,IF(_xlfn.NUMBERVALUE(CONCATENATE(YEAR($A$10),MONTH($A$10)))&lt;_xlfn.NUMBERVALUE(CONCATENATE($B$2,MONTH(E$2))),VLOOKUP(Tabela6[[#This Row],[Coluna1]],Planodecontas[],3,FALSE),0), SUMIF(Lançamento!$A$2:$A$67,"="&amp;CONCATENATE(E$10,$A29),Lançamento!$D$2:$D$67))</f>
        <v>0</v>
      </c>
      <c r="F29" s="83">
        <f ca="1">IF(SUMIF(Lançamento!$A$2:$A$67,"="&amp;CONCATENATE(F$10,$A29),Lançamento!$D$2:$D$67) &lt;=0,IF(_xlfn.NUMBERVALUE(CONCATENATE(YEAR($A$10),MONTH($A$10)))&lt;_xlfn.NUMBERVALUE(CONCATENATE($B$2,MONTH(F$2))),VLOOKUP(Tabela6[[#This Row],[Coluna1]],Planodecontas[],3,FALSE),0), SUMIF(Lançamento!$A$2:$A$67,"="&amp;CONCATENATE(F$10,$A29),Lançamento!$D$2:$D$67))</f>
        <v>0</v>
      </c>
      <c r="G29" s="83">
        <f ca="1">IF(SUMIF(Lançamento!$A$2:$A$67,"="&amp;CONCATENATE(G$10,$A29),Lançamento!$D$2:$D$67) &lt;=0,IF(_xlfn.NUMBERVALUE(CONCATENATE(YEAR($A$10),MONTH($A$10)))&lt;_xlfn.NUMBERVALUE(CONCATENATE($B$2,MONTH(G$2))),VLOOKUP(Tabela6[[#This Row],[Coluna1]],Planodecontas[],3,FALSE),0), SUMIF(Lançamento!$A$2:$A$67,"="&amp;CONCATENATE(G$10,$A29),Lançamento!$D$2:$D$67))</f>
        <v>0</v>
      </c>
      <c r="H29" s="83">
        <f ca="1">IF(SUMIF(Lançamento!$A$2:$A$67,"="&amp;CONCATENATE(H$10,$A29),Lançamento!$D$2:$D$67) &lt;=0,IF(_xlfn.NUMBERVALUE(CONCATENATE(YEAR($A$10),MONTH($A$10)))&lt;_xlfn.NUMBERVALUE(CONCATENATE($B$2,MONTH(H$2))),VLOOKUP(Tabela6[[#This Row],[Coluna1]],Planodecontas[],3,FALSE),0), SUMIF(Lançamento!$A$2:$A$67,"="&amp;CONCATENATE(H$10,$A29),Lançamento!$D$2:$D$67))</f>
        <v>0</v>
      </c>
      <c r="I29" s="83">
        <f ca="1">IF(SUMIF(Lançamento!$A$2:$A$67,"="&amp;CONCATENATE(I$10,$A29),Lançamento!$D$2:$D$67) &lt;=0,IF(_xlfn.NUMBERVALUE(CONCATENATE(YEAR($A$10),MONTH($A$10)))&lt;_xlfn.NUMBERVALUE(CONCATENATE($B$2,MONTH(I$2))),VLOOKUP(Tabela6[[#This Row],[Coluna1]],Planodecontas[],3,FALSE),0), SUMIF(Lançamento!$A$2:$A$67,"="&amp;CONCATENATE(I$10,$A29),Lançamento!$D$2:$D$67))</f>
        <v>0</v>
      </c>
      <c r="J29" s="83">
        <f ca="1">IF(SUMIF(Lançamento!$A$2:$A$67,"="&amp;CONCATENATE(J$10,$A29),Lançamento!$D$2:$D$67) &lt;=0,IF(_xlfn.NUMBERVALUE(CONCATENATE(YEAR($A$10),MONTH($A$10)))&lt;_xlfn.NUMBERVALUE(CONCATENATE($B$2,MONTH(J$2))),VLOOKUP(Tabela6[[#This Row],[Coluna1]],Planodecontas[],3,FALSE),0), SUMIF(Lançamento!$A$2:$A$67,"="&amp;CONCATENATE(J$10,$A29),Lançamento!$D$2:$D$67))</f>
        <v>0</v>
      </c>
      <c r="K29" s="83">
        <f ca="1">IF(SUMIF(Lançamento!$A$2:$A$67,"="&amp;CONCATENATE(K$10,$A29),Lançamento!$D$2:$D$67) &lt;=0,IF(_xlfn.NUMBERVALUE(CONCATENATE(YEAR($A$10),MONTH($A$10)))&lt;_xlfn.NUMBERVALUE(CONCATENATE($B$2,MONTH(K$2))),VLOOKUP(Tabela6[[#This Row],[Coluna1]],Planodecontas[],3,FALSE),0), SUMIF(Lançamento!$A$2:$A$67,"="&amp;CONCATENATE(K$10,$A29),Lançamento!$D$2:$D$67))</f>
        <v>0</v>
      </c>
      <c r="L29" s="83">
        <f ca="1">IF(SUMIF(Lançamento!$A$2:$A$67,"="&amp;CONCATENATE(L$10,$A29),Lançamento!$D$2:$D$67) &lt;=0,IF(_xlfn.NUMBERVALUE(CONCATENATE(YEAR($A$10),MONTH($A$10)))&lt;_xlfn.NUMBERVALUE(CONCATENATE($B$2,MONTH(L$2))),VLOOKUP(Tabela6[[#This Row],[Coluna1]],Planodecontas[],3,FALSE),0), SUMIF(Lançamento!$A$2:$A$67,"="&amp;CONCATENATE(L$10,$A29),Lançamento!$D$2:$D$67))</f>
        <v>0</v>
      </c>
      <c r="M29" s="83">
        <f ca="1">IF(SUMIF(Lançamento!$A$2:$A$67,"="&amp;CONCATENATE(M$10,$A29),Lançamento!$D$2:$D$67) &lt;=0,IF(_xlfn.NUMBERVALUE(CONCATENATE(YEAR($A$10),MONTH($A$10)))&lt;_xlfn.NUMBERVALUE(CONCATENATE($B$2,MONTH(M$2))),VLOOKUP(Tabela6[[#This Row],[Coluna1]],Planodecontas[],3,FALSE),0), SUMIF(Lançamento!$A$2:$A$67,"="&amp;CONCATENATE(M$10,$A29),Lançamento!$D$2:$D$67))</f>
        <v>0</v>
      </c>
      <c r="N29" s="83">
        <f>IF(SUMIF(Lançamento!$A$2:$A$67,"="&amp;CONCATENATE(N$10,$A29),Lançamento!$D$2:$D$67) &lt;=0,IF(_xlfn.NUMBERVALUE(CONCATENATE(YEAR($A$10),MONTH($A$10)))&lt;_xlfn.NUMBERVALUE(CONCATENATE($B$2,MONTH(N$2))),VLOOKUP(Tabela6[[#This Row],[Coluna1]],Planodecontas[],3,FALSE),0), SUMIF(Lançamento!$A$2:$A$67,"="&amp;CONCATENATE(N$10,$A29),Lançamento!$D$2:$D$67))</f>
        <v>54</v>
      </c>
      <c r="O29" s="20">
        <f ca="1">SUM(Tabela6[[#This Row],[Coluna3]:[Coluna14]])</f>
        <v>54</v>
      </c>
    </row>
    <row r="30" spans="1:15" x14ac:dyDescent="0.25">
      <c r="A30" s="21" t="s">
        <v>39</v>
      </c>
      <c r="B30" s="22">
        <f>VLOOKUP(A30,Planodecontas[],3,FALSE)</f>
        <v>0</v>
      </c>
      <c r="C30" s="83">
        <f ca="1">IF(SUMIF(Lançamento!$A$2:$A$67,"="&amp;CONCATENATE(C$10,$A30),Lançamento!$D$2:$D$67) &lt;=0,IF(_xlfn.NUMBERVALUE(CONCATENATE(YEAR($A$10),MONTH($A$10)))&lt;_xlfn.NUMBERVALUE(CONCATENATE($B$2,MONTH(C$2))),VLOOKUP(Tabela6[[#This Row],[Coluna1]],Planodecontas[],3,FALSE),0), SUMIF(Lançamento!$A$2:$A$67,"="&amp;CONCATENATE(C$10,$A30),Lançamento!$D$2:$D$67))</f>
        <v>0</v>
      </c>
      <c r="D30" s="83">
        <f ca="1">IF(SUMIF(Lançamento!$A$2:$A$67,"="&amp;CONCATENATE(D$10,$A30),Lançamento!$D$2:$D$67) &lt;=0,IF(_xlfn.NUMBERVALUE(CONCATENATE(YEAR($A$10),MONTH($A$10)))&lt;_xlfn.NUMBERVALUE(CONCATENATE($B$2,MONTH(D$2))),VLOOKUP(Tabela6[[#This Row],[Coluna1]],Planodecontas[],3,FALSE),0), SUMIF(Lançamento!$A$2:$A$67,"="&amp;CONCATENATE(D$10,$A30),Lançamento!$D$2:$D$67))</f>
        <v>0</v>
      </c>
      <c r="E30" s="83">
        <f ca="1">IF(SUMIF(Lançamento!$A$2:$A$67,"="&amp;CONCATENATE(E$10,$A30),Lançamento!$D$2:$D$67) &lt;=0,IF(_xlfn.NUMBERVALUE(CONCATENATE(YEAR($A$10),MONTH($A$10)))&lt;_xlfn.NUMBERVALUE(CONCATENATE($B$2,MONTH(E$2))),VLOOKUP(Tabela6[[#This Row],[Coluna1]],Planodecontas[],3,FALSE),0), SUMIF(Lançamento!$A$2:$A$67,"="&amp;CONCATENATE(E$10,$A30),Lançamento!$D$2:$D$67))</f>
        <v>0</v>
      </c>
      <c r="F30" s="83">
        <f ca="1">IF(SUMIF(Lançamento!$A$2:$A$67,"="&amp;CONCATENATE(F$10,$A30),Lançamento!$D$2:$D$67) &lt;=0,IF(_xlfn.NUMBERVALUE(CONCATENATE(YEAR($A$10),MONTH($A$10)))&lt;_xlfn.NUMBERVALUE(CONCATENATE($B$2,MONTH(F$2))),VLOOKUP(Tabela6[[#This Row],[Coluna1]],Planodecontas[],3,FALSE),0), SUMIF(Lançamento!$A$2:$A$67,"="&amp;CONCATENATE(F$10,$A30),Lançamento!$D$2:$D$67))</f>
        <v>0</v>
      </c>
      <c r="G30" s="83">
        <f ca="1">IF(SUMIF(Lançamento!$A$2:$A$67,"="&amp;CONCATENATE(G$10,$A30),Lançamento!$D$2:$D$67) &lt;=0,IF(_xlfn.NUMBERVALUE(CONCATENATE(YEAR($A$10),MONTH($A$10)))&lt;_xlfn.NUMBERVALUE(CONCATENATE($B$2,MONTH(G$2))),VLOOKUP(Tabela6[[#This Row],[Coluna1]],Planodecontas[],3,FALSE),0), SUMIF(Lançamento!$A$2:$A$67,"="&amp;CONCATENATE(G$10,$A30),Lançamento!$D$2:$D$67))</f>
        <v>0</v>
      </c>
      <c r="H30" s="83">
        <f ca="1">IF(SUMIF(Lançamento!$A$2:$A$67,"="&amp;CONCATENATE(H$10,$A30),Lançamento!$D$2:$D$67) &lt;=0,IF(_xlfn.NUMBERVALUE(CONCATENATE(YEAR($A$10),MONTH($A$10)))&lt;_xlfn.NUMBERVALUE(CONCATENATE($B$2,MONTH(H$2))),VLOOKUP(Tabela6[[#This Row],[Coluna1]],Planodecontas[],3,FALSE),0), SUMIF(Lançamento!$A$2:$A$67,"="&amp;CONCATENATE(H$10,$A30),Lançamento!$D$2:$D$67))</f>
        <v>0</v>
      </c>
      <c r="I30" s="83">
        <f ca="1">IF(SUMIF(Lançamento!$A$2:$A$67,"="&amp;CONCATENATE(I$10,$A30),Lançamento!$D$2:$D$67) &lt;=0,IF(_xlfn.NUMBERVALUE(CONCATENATE(YEAR($A$10),MONTH($A$10)))&lt;_xlfn.NUMBERVALUE(CONCATENATE($B$2,MONTH(I$2))),VLOOKUP(Tabela6[[#This Row],[Coluna1]],Planodecontas[],3,FALSE),0), SUMIF(Lançamento!$A$2:$A$67,"="&amp;CONCATENATE(I$10,$A30),Lançamento!$D$2:$D$67))</f>
        <v>0</v>
      </c>
      <c r="J30" s="83">
        <f ca="1">IF(SUMIF(Lançamento!$A$2:$A$67,"="&amp;CONCATENATE(J$10,$A30),Lançamento!$D$2:$D$67) &lt;=0,IF(_xlfn.NUMBERVALUE(CONCATENATE(YEAR($A$10),MONTH($A$10)))&lt;_xlfn.NUMBERVALUE(CONCATENATE($B$2,MONTH(J$2))),VLOOKUP(Tabela6[[#This Row],[Coluna1]],Planodecontas[],3,FALSE),0), SUMIF(Lançamento!$A$2:$A$67,"="&amp;CONCATENATE(J$10,$A30),Lançamento!$D$2:$D$67))</f>
        <v>0</v>
      </c>
      <c r="K30" s="83">
        <f ca="1">IF(SUMIF(Lançamento!$A$2:$A$67,"="&amp;CONCATENATE(K$10,$A30),Lançamento!$D$2:$D$67) &lt;=0,IF(_xlfn.NUMBERVALUE(CONCATENATE(YEAR($A$10),MONTH($A$10)))&lt;_xlfn.NUMBERVALUE(CONCATENATE($B$2,MONTH(K$2))),VLOOKUP(Tabela6[[#This Row],[Coluna1]],Planodecontas[],3,FALSE),0), SUMIF(Lançamento!$A$2:$A$67,"="&amp;CONCATENATE(K$10,$A30),Lançamento!$D$2:$D$67))</f>
        <v>0</v>
      </c>
      <c r="L30" s="83">
        <f ca="1">IF(SUMIF(Lançamento!$A$2:$A$67,"="&amp;CONCATENATE(L$10,$A30),Lançamento!$D$2:$D$67) &lt;=0,IF(_xlfn.NUMBERVALUE(CONCATENATE(YEAR($A$10),MONTH($A$10)))&lt;_xlfn.NUMBERVALUE(CONCATENATE($B$2,MONTH(L$2))),VLOOKUP(Tabela6[[#This Row],[Coluna1]],Planodecontas[],3,FALSE),0), SUMIF(Lançamento!$A$2:$A$67,"="&amp;CONCATENATE(L$10,$A30),Lançamento!$D$2:$D$67))</f>
        <v>0</v>
      </c>
      <c r="M30" s="83">
        <f ca="1">IF(SUMIF(Lançamento!$A$2:$A$67,"="&amp;CONCATENATE(M$10,$A30),Lançamento!$D$2:$D$67) &lt;=0,IF(_xlfn.NUMBERVALUE(CONCATENATE(YEAR($A$10),MONTH($A$10)))&lt;_xlfn.NUMBERVALUE(CONCATENATE($B$2,MONTH(M$2))),VLOOKUP(Tabela6[[#This Row],[Coluna1]],Planodecontas[],3,FALSE),0), SUMIF(Lançamento!$A$2:$A$67,"="&amp;CONCATENATE(M$10,$A30),Lançamento!$D$2:$D$67))</f>
        <v>0</v>
      </c>
      <c r="N30" s="83">
        <f>IF(SUMIF(Lançamento!$A$2:$A$67,"="&amp;CONCATENATE(N$10,$A30),Lançamento!$D$2:$D$67) &lt;=0,IF(_xlfn.NUMBERVALUE(CONCATENATE(YEAR($A$10),MONTH($A$10)))&lt;_xlfn.NUMBERVALUE(CONCATENATE($B$2,MONTH(N$2))),VLOOKUP(Tabela6[[#This Row],[Coluna1]],Planodecontas[],3,FALSE),0), SUMIF(Lançamento!$A$2:$A$67,"="&amp;CONCATENATE(N$10,$A30),Lançamento!$D$2:$D$67))</f>
        <v>141.6</v>
      </c>
      <c r="O30" s="20">
        <f ca="1">SUM(Tabela6[[#This Row],[Coluna3]:[Coluna14]])</f>
        <v>141.6</v>
      </c>
    </row>
    <row r="31" spans="1:15" x14ac:dyDescent="0.25">
      <c r="A31" s="21" t="s">
        <v>40</v>
      </c>
      <c r="B31" s="22">
        <f>VLOOKUP(A31,Planodecontas[],3,FALSE)</f>
        <v>0</v>
      </c>
      <c r="C31" s="83">
        <f ca="1">IF(SUMIF(Lançamento!$A$2:$A$67,"="&amp;CONCATENATE(C$10,$A31),Lançamento!$D$2:$D$67) &lt;=0,IF(_xlfn.NUMBERVALUE(CONCATENATE(YEAR($A$10),MONTH($A$10)))&lt;_xlfn.NUMBERVALUE(CONCATENATE($B$2,MONTH(C$2))),VLOOKUP(Tabela6[[#This Row],[Coluna1]],Planodecontas[],3,FALSE),0), SUMIF(Lançamento!$A$2:$A$67,"="&amp;CONCATENATE(C$10,$A31),Lançamento!$D$2:$D$67))</f>
        <v>0</v>
      </c>
      <c r="D31" s="83">
        <f ca="1">IF(SUMIF(Lançamento!$A$2:$A$67,"="&amp;CONCATENATE(D$10,$A31),Lançamento!$D$2:$D$67) &lt;=0,IF(_xlfn.NUMBERVALUE(CONCATENATE(YEAR($A$10),MONTH($A$10)))&lt;_xlfn.NUMBERVALUE(CONCATENATE($B$2,MONTH(D$2))),VLOOKUP(Tabela6[[#This Row],[Coluna1]],Planodecontas[],3,FALSE),0), SUMIF(Lançamento!$A$2:$A$67,"="&amp;CONCATENATE(D$10,$A31),Lançamento!$D$2:$D$67))</f>
        <v>0</v>
      </c>
      <c r="E31" s="83">
        <f ca="1">IF(SUMIF(Lançamento!$A$2:$A$67,"="&amp;CONCATENATE(E$10,$A31),Lançamento!$D$2:$D$67) &lt;=0,IF(_xlfn.NUMBERVALUE(CONCATENATE(YEAR($A$10),MONTH($A$10)))&lt;_xlfn.NUMBERVALUE(CONCATENATE($B$2,MONTH(E$2))),VLOOKUP(Tabela6[[#This Row],[Coluna1]],Planodecontas[],3,FALSE),0), SUMIF(Lançamento!$A$2:$A$67,"="&amp;CONCATENATE(E$10,$A31),Lançamento!$D$2:$D$67))</f>
        <v>0</v>
      </c>
      <c r="F31" s="83">
        <f ca="1">IF(SUMIF(Lançamento!$A$2:$A$67,"="&amp;CONCATENATE(F$10,$A31),Lançamento!$D$2:$D$67) &lt;=0,IF(_xlfn.NUMBERVALUE(CONCATENATE(YEAR($A$10),MONTH($A$10)))&lt;_xlfn.NUMBERVALUE(CONCATENATE($B$2,MONTH(F$2))),VLOOKUP(Tabela6[[#This Row],[Coluna1]],Planodecontas[],3,FALSE),0), SUMIF(Lançamento!$A$2:$A$67,"="&amp;CONCATENATE(F$10,$A31),Lançamento!$D$2:$D$67))</f>
        <v>0</v>
      </c>
      <c r="G31" s="83">
        <f ca="1">IF(SUMIF(Lançamento!$A$2:$A$67,"="&amp;CONCATENATE(G$10,$A31),Lançamento!$D$2:$D$67) &lt;=0,IF(_xlfn.NUMBERVALUE(CONCATENATE(YEAR($A$10),MONTH($A$10)))&lt;_xlfn.NUMBERVALUE(CONCATENATE($B$2,MONTH(G$2))),VLOOKUP(Tabela6[[#This Row],[Coluna1]],Planodecontas[],3,FALSE),0), SUMIF(Lançamento!$A$2:$A$67,"="&amp;CONCATENATE(G$10,$A31),Lançamento!$D$2:$D$67))</f>
        <v>0</v>
      </c>
      <c r="H31" s="83">
        <f ca="1">IF(SUMIF(Lançamento!$A$2:$A$67,"="&amp;CONCATENATE(H$10,$A31),Lançamento!$D$2:$D$67) &lt;=0,IF(_xlfn.NUMBERVALUE(CONCATENATE(YEAR($A$10),MONTH($A$10)))&lt;_xlfn.NUMBERVALUE(CONCATENATE($B$2,MONTH(H$2))),VLOOKUP(Tabela6[[#This Row],[Coluna1]],Planodecontas[],3,FALSE),0), SUMIF(Lançamento!$A$2:$A$67,"="&amp;CONCATENATE(H$10,$A31),Lançamento!$D$2:$D$67))</f>
        <v>0</v>
      </c>
      <c r="I31" s="83">
        <f ca="1">IF(SUMIF(Lançamento!$A$2:$A$67,"="&amp;CONCATENATE(I$10,$A31),Lançamento!$D$2:$D$67) &lt;=0,IF(_xlfn.NUMBERVALUE(CONCATENATE(YEAR($A$10),MONTH($A$10)))&lt;_xlfn.NUMBERVALUE(CONCATENATE($B$2,MONTH(I$2))),VLOOKUP(Tabela6[[#This Row],[Coluna1]],Planodecontas[],3,FALSE),0), SUMIF(Lançamento!$A$2:$A$67,"="&amp;CONCATENATE(I$10,$A31),Lançamento!$D$2:$D$67))</f>
        <v>0</v>
      </c>
      <c r="J31" s="83">
        <f ca="1">IF(SUMIF(Lançamento!$A$2:$A$67,"="&amp;CONCATENATE(J$10,$A31),Lançamento!$D$2:$D$67) &lt;=0,IF(_xlfn.NUMBERVALUE(CONCATENATE(YEAR($A$10),MONTH($A$10)))&lt;_xlfn.NUMBERVALUE(CONCATENATE($B$2,MONTH(J$2))),VLOOKUP(Tabela6[[#This Row],[Coluna1]],Planodecontas[],3,FALSE),0), SUMIF(Lançamento!$A$2:$A$67,"="&amp;CONCATENATE(J$10,$A31),Lançamento!$D$2:$D$67))</f>
        <v>0</v>
      </c>
      <c r="K31" s="83">
        <f ca="1">IF(SUMIF(Lançamento!$A$2:$A$67,"="&amp;CONCATENATE(K$10,$A31),Lançamento!$D$2:$D$67) &lt;=0,IF(_xlfn.NUMBERVALUE(CONCATENATE(YEAR($A$10),MONTH($A$10)))&lt;_xlfn.NUMBERVALUE(CONCATENATE($B$2,MONTH(K$2))),VLOOKUP(Tabela6[[#This Row],[Coluna1]],Planodecontas[],3,FALSE),0), SUMIF(Lançamento!$A$2:$A$67,"="&amp;CONCATENATE(K$10,$A31),Lançamento!$D$2:$D$67))</f>
        <v>0</v>
      </c>
      <c r="L31" s="83">
        <f ca="1">IF(SUMIF(Lançamento!$A$2:$A$67,"="&amp;CONCATENATE(L$10,$A31),Lançamento!$D$2:$D$67) &lt;=0,IF(_xlfn.NUMBERVALUE(CONCATENATE(YEAR($A$10),MONTH($A$10)))&lt;_xlfn.NUMBERVALUE(CONCATENATE($B$2,MONTH(L$2))),VLOOKUP(Tabela6[[#This Row],[Coluna1]],Planodecontas[],3,FALSE),0), SUMIF(Lançamento!$A$2:$A$67,"="&amp;CONCATENATE(L$10,$A31),Lançamento!$D$2:$D$67))</f>
        <v>0</v>
      </c>
      <c r="M31" s="83">
        <f ca="1">IF(SUMIF(Lançamento!$A$2:$A$67,"="&amp;CONCATENATE(M$10,$A31),Lançamento!$D$2:$D$67) &lt;=0,IF(_xlfn.NUMBERVALUE(CONCATENATE(YEAR($A$10),MONTH($A$10)))&lt;_xlfn.NUMBERVALUE(CONCATENATE($B$2,MONTH(M$2))),VLOOKUP(Tabela6[[#This Row],[Coluna1]],Planodecontas[],3,FALSE),0), SUMIF(Lançamento!$A$2:$A$67,"="&amp;CONCATENATE(M$10,$A31),Lançamento!$D$2:$D$67))</f>
        <v>0</v>
      </c>
      <c r="N31" s="83">
        <f>IF(SUMIF(Lançamento!$A$2:$A$67,"="&amp;CONCATENATE(N$10,$A31),Lançamento!$D$2:$D$67) &lt;=0,IF(_xlfn.NUMBERVALUE(CONCATENATE(YEAR($A$10),MONTH($A$10)))&lt;_xlfn.NUMBERVALUE(CONCATENATE($B$2,MONTH(N$2))),VLOOKUP(Tabela6[[#This Row],[Coluna1]],Planodecontas[],3,FALSE),0), SUMIF(Lançamento!$A$2:$A$67,"="&amp;CONCATENATE(N$10,$A31),Lançamento!$D$2:$D$67))</f>
        <v>245.9</v>
      </c>
      <c r="O31" s="20">
        <f ca="1">SUM(Tabela6[[#This Row],[Coluna3]:[Coluna14]])</f>
        <v>245.9</v>
      </c>
    </row>
    <row r="32" spans="1:15" x14ac:dyDescent="0.25">
      <c r="A32" s="21" t="s">
        <v>41</v>
      </c>
      <c r="B32" s="22">
        <f>VLOOKUP(A32,Planodecontas[],3,FALSE)</f>
        <v>0</v>
      </c>
      <c r="C32" s="83">
        <f>IF(SUMIF(Lançamento!$A$2:$A$67,"="&amp;CONCATENATE(C$10,$A32),Lançamento!$D$2:$D$67) &lt;=0,IF(_xlfn.NUMBERVALUE(CONCATENATE(YEAR($A$10),MONTH($A$10)))&lt;_xlfn.NUMBERVALUE(CONCATENATE($B$2,MONTH(C$2))),VLOOKUP(Tabela6[[#This Row],[Coluna1]],Planodecontas[],3,FALSE),0), SUMIF(Lançamento!$A$2:$A$67,"="&amp;CONCATENATE(C$10,$A32),Lançamento!$D$2:$D$67))</f>
        <v>1105.8800000000001</v>
      </c>
      <c r="D32" s="83">
        <f>IF(SUMIF(Lançamento!$A$2:$A$67,"="&amp;CONCATENATE(D$10,$A32),Lançamento!$D$2:$D$67) &lt;=0,IF(_xlfn.NUMBERVALUE(CONCATENATE(YEAR($A$10),MONTH($A$10)))&lt;_xlfn.NUMBERVALUE(CONCATENATE($B$2,MONTH(D$2))),VLOOKUP(Tabela6[[#This Row],[Coluna1]],Planodecontas[],3,FALSE),0), SUMIF(Lançamento!$A$2:$A$67,"="&amp;CONCATENATE(D$10,$A32),Lançamento!$D$2:$D$67))</f>
        <v>1105.8800000000001</v>
      </c>
      <c r="E32" s="83">
        <f>IF(SUMIF(Lançamento!$A$2:$A$67,"="&amp;CONCATENATE(E$10,$A32),Lançamento!$D$2:$D$67) &lt;=0,IF(_xlfn.NUMBERVALUE(CONCATENATE(YEAR($A$10),MONTH($A$10)))&lt;_xlfn.NUMBERVALUE(CONCATENATE($B$2,MONTH(E$2))),VLOOKUP(Tabela6[[#This Row],[Coluna1]],Planodecontas[],3,FALSE),0), SUMIF(Lançamento!$A$2:$A$67,"="&amp;CONCATENATE(E$10,$A32),Lançamento!$D$2:$D$67))</f>
        <v>1105.8800000000001</v>
      </c>
      <c r="F32" s="83">
        <f>IF(SUMIF(Lançamento!$A$2:$A$67,"="&amp;CONCATENATE(F$10,$A32),Lançamento!$D$2:$D$67) &lt;=0,IF(_xlfn.NUMBERVALUE(CONCATENATE(YEAR($A$10),MONTH($A$10)))&lt;_xlfn.NUMBERVALUE(CONCATENATE($B$2,MONTH(F$2))),VLOOKUP(Tabela6[[#This Row],[Coluna1]],Planodecontas[],3,FALSE),0), SUMIF(Lançamento!$A$2:$A$67,"="&amp;CONCATENATE(F$10,$A32),Lançamento!$D$2:$D$67))</f>
        <v>680</v>
      </c>
      <c r="G32" s="83">
        <f ca="1">IF(SUMIF(Lançamento!$A$2:$A$67,"="&amp;CONCATENATE(G$10,$A32),Lançamento!$D$2:$D$67) &lt;=0,IF(_xlfn.NUMBERVALUE(CONCATENATE(YEAR($A$10),MONTH($A$10)))&lt;_xlfn.NUMBERVALUE(CONCATENATE($B$2,MONTH(G$2))),VLOOKUP(Tabela6[[#This Row],[Coluna1]],Planodecontas[],3,FALSE),0), SUMIF(Lançamento!$A$2:$A$67,"="&amp;CONCATENATE(G$10,$A32),Lançamento!$D$2:$D$67))</f>
        <v>0</v>
      </c>
      <c r="H32" s="83">
        <f ca="1">IF(SUMIF(Lançamento!$A$2:$A$67,"="&amp;CONCATENATE(H$10,$A32),Lançamento!$D$2:$D$67) &lt;=0,IF(_xlfn.NUMBERVALUE(CONCATENATE(YEAR($A$10),MONTH($A$10)))&lt;_xlfn.NUMBERVALUE(CONCATENATE($B$2,MONTH(H$2))),VLOOKUP(Tabela6[[#This Row],[Coluna1]],Planodecontas[],3,FALSE),0), SUMIF(Lançamento!$A$2:$A$67,"="&amp;CONCATENATE(H$10,$A32),Lançamento!$D$2:$D$67))</f>
        <v>0</v>
      </c>
      <c r="I32" s="83">
        <f ca="1">IF(SUMIF(Lançamento!$A$2:$A$67,"="&amp;CONCATENATE(I$10,$A32),Lançamento!$D$2:$D$67) &lt;=0,IF(_xlfn.NUMBERVALUE(CONCATENATE(YEAR($A$10),MONTH($A$10)))&lt;_xlfn.NUMBERVALUE(CONCATENATE($B$2,MONTH(I$2))),VLOOKUP(Tabela6[[#This Row],[Coluna1]],Planodecontas[],3,FALSE),0), SUMIF(Lançamento!$A$2:$A$67,"="&amp;CONCATENATE(I$10,$A32),Lançamento!$D$2:$D$67))</f>
        <v>0</v>
      </c>
      <c r="J32" s="83">
        <f ca="1">IF(SUMIF(Lançamento!$A$2:$A$67,"="&amp;CONCATENATE(J$10,$A32),Lançamento!$D$2:$D$67) &lt;=0,IF(_xlfn.NUMBERVALUE(CONCATENATE(YEAR($A$10),MONTH($A$10)))&lt;_xlfn.NUMBERVALUE(CONCATENATE($B$2,MONTH(J$2))),VLOOKUP(Tabela6[[#This Row],[Coluna1]],Planodecontas[],3,FALSE),0), SUMIF(Lançamento!$A$2:$A$67,"="&amp;CONCATENATE(J$10,$A32),Lançamento!$D$2:$D$67))</f>
        <v>0</v>
      </c>
      <c r="K32" s="83">
        <f ca="1">IF(SUMIF(Lançamento!$A$2:$A$67,"="&amp;CONCATENATE(K$10,$A32),Lançamento!$D$2:$D$67) &lt;=0,IF(_xlfn.NUMBERVALUE(CONCATENATE(YEAR($A$10),MONTH($A$10)))&lt;_xlfn.NUMBERVALUE(CONCATENATE($B$2,MONTH(K$2))),VLOOKUP(Tabela6[[#This Row],[Coluna1]],Planodecontas[],3,FALSE),0), SUMIF(Lançamento!$A$2:$A$67,"="&amp;CONCATENATE(K$10,$A32),Lançamento!$D$2:$D$67))</f>
        <v>0</v>
      </c>
      <c r="L32" s="83">
        <f ca="1">IF(SUMIF(Lançamento!$A$2:$A$67,"="&amp;CONCATENATE(L$10,$A32),Lançamento!$D$2:$D$67) &lt;=0,IF(_xlfn.NUMBERVALUE(CONCATENATE(YEAR($A$10),MONTH($A$10)))&lt;_xlfn.NUMBERVALUE(CONCATENATE($B$2,MONTH(L$2))),VLOOKUP(Tabela6[[#This Row],[Coluna1]],Planodecontas[],3,FALSE),0), SUMIF(Lançamento!$A$2:$A$67,"="&amp;CONCATENATE(L$10,$A32),Lançamento!$D$2:$D$67))</f>
        <v>0</v>
      </c>
      <c r="M32" s="83">
        <f ca="1">IF(SUMIF(Lançamento!$A$2:$A$67,"="&amp;CONCATENATE(M$10,$A32),Lançamento!$D$2:$D$67) &lt;=0,IF(_xlfn.NUMBERVALUE(CONCATENATE(YEAR($A$10),MONTH($A$10)))&lt;_xlfn.NUMBERVALUE(CONCATENATE($B$2,MONTH(M$2))),VLOOKUP(Tabela6[[#This Row],[Coluna1]],Planodecontas[],3,FALSE),0), SUMIF(Lançamento!$A$2:$A$67,"="&amp;CONCATENATE(M$10,$A32),Lançamento!$D$2:$D$67))</f>
        <v>0</v>
      </c>
      <c r="N32" s="83">
        <f ca="1">IF(SUMIF(Lançamento!$A$2:$A$67,"="&amp;CONCATENATE(N$10,$A32),Lançamento!$D$2:$D$67) &lt;=0,IF(_xlfn.NUMBERVALUE(CONCATENATE(YEAR($A$10),MONTH($A$10)))&lt;_xlfn.NUMBERVALUE(CONCATENATE($B$2,MONTH(N$2))),VLOOKUP(Tabela6[[#This Row],[Coluna1]],Planodecontas[],3,FALSE),0), SUMIF(Lançamento!$A$2:$A$67,"="&amp;CONCATENATE(N$10,$A32),Lançamento!$D$2:$D$67))</f>
        <v>0</v>
      </c>
      <c r="O32" s="20">
        <f ca="1">SUM(Tabela6[[#This Row],[Coluna3]:[Coluna14]])</f>
        <v>3997.6400000000003</v>
      </c>
    </row>
    <row r="33" spans="1:15" x14ac:dyDescent="0.25">
      <c r="A33" s="21" t="s">
        <v>42</v>
      </c>
      <c r="B33" s="22">
        <f>VLOOKUP(A33,Planodecontas[],3,FALSE)</f>
        <v>0</v>
      </c>
      <c r="C33" s="83">
        <f ca="1">IF(SUMIF(Lançamento!$A$2:$A$67,"="&amp;CONCATENATE(C$10,$A33),Lançamento!$D$2:$D$67) &lt;=0,IF(_xlfn.NUMBERVALUE(CONCATENATE(YEAR($A$10),MONTH($A$10)))&lt;_xlfn.NUMBERVALUE(CONCATENATE($B$2,MONTH(C$2))),VLOOKUP(Tabela6[[#This Row],[Coluna1]],Planodecontas[],3,FALSE),0), SUMIF(Lançamento!$A$2:$A$67,"="&amp;CONCATENATE(C$10,$A33),Lançamento!$D$2:$D$67))</f>
        <v>0</v>
      </c>
      <c r="D33" s="83">
        <f ca="1">IF(SUMIF(Lançamento!$A$2:$A$67,"="&amp;CONCATENATE(D$10,$A33),Lançamento!$D$2:$D$67) &lt;=0,IF(_xlfn.NUMBERVALUE(CONCATENATE(YEAR($A$10),MONTH($A$10)))&lt;_xlfn.NUMBERVALUE(CONCATENATE($B$2,MONTH(D$2))),VLOOKUP(Tabela6[[#This Row],[Coluna1]],Planodecontas[],3,FALSE),0), SUMIF(Lançamento!$A$2:$A$67,"="&amp;CONCATENATE(D$10,$A33),Lançamento!$D$2:$D$67))</f>
        <v>0</v>
      </c>
      <c r="E33" s="83">
        <f ca="1">IF(SUMIF(Lançamento!$A$2:$A$67,"="&amp;CONCATENATE(E$10,$A33),Lançamento!$D$2:$D$67) &lt;=0,IF(_xlfn.NUMBERVALUE(CONCATENATE(YEAR($A$10),MONTH($A$10)))&lt;_xlfn.NUMBERVALUE(CONCATENATE($B$2,MONTH(E$2))),VLOOKUP(Tabela6[[#This Row],[Coluna1]],Planodecontas[],3,FALSE),0), SUMIF(Lançamento!$A$2:$A$67,"="&amp;CONCATENATE(E$10,$A33),Lançamento!$D$2:$D$67))</f>
        <v>0</v>
      </c>
      <c r="F33" s="83">
        <f ca="1">IF(SUMIF(Lançamento!$A$2:$A$67,"="&amp;CONCATENATE(F$10,$A33),Lançamento!$D$2:$D$67) &lt;=0,IF(_xlfn.NUMBERVALUE(CONCATENATE(YEAR($A$10),MONTH($A$10)))&lt;_xlfn.NUMBERVALUE(CONCATENATE($B$2,MONTH(F$2))),VLOOKUP(Tabela6[[#This Row],[Coluna1]],Planodecontas[],3,FALSE),0), SUMIF(Lançamento!$A$2:$A$67,"="&amp;CONCATENATE(F$10,$A33),Lançamento!$D$2:$D$67))</f>
        <v>0</v>
      </c>
      <c r="G33" s="83">
        <f ca="1">IF(SUMIF(Lançamento!$A$2:$A$67,"="&amp;CONCATENATE(G$10,$A33),Lançamento!$D$2:$D$67) &lt;=0,IF(_xlfn.NUMBERVALUE(CONCATENATE(YEAR($A$10),MONTH($A$10)))&lt;_xlfn.NUMBERVALUE(CONCATENATE($B$2,MONTH(G$2))),VLOOKUP(Tabela6[[#This Row],[Coluna1]],Planodecontas[],3,FALSE),0), SUMIF(Lançamento!$A$2:$A$67,"="&amp;CONCATENATE(G$10,$A33),Lançamento!$D$2:$D$67))</f>
        <v>0</v>
      </c>
      <c r="H33" s="83">
        <f ca="1">IF(SUMIF(Lançamento!$A$2:$A$67,"="&amp;CONCATENATE(H$10,$A33),Lançamento!$D$2:$D$67) &lt;=0,IF(_xlfn.NUMBERVALUE(CONCATENATE(YEAR($A$10),MONTH($A$10)))&lt;_xlfn.NUMBERVALUE(CONCATENATE($B$2,MONTH(H$2))),VLOOKUP(Tabela6[[#This Row],[Coluna1]],Planodecontas[],3,FALSE),0), SUMIF(Lançamento!$A$2:$A$67,"="&amp;CONCATENATE(H$10,$A33),Lançamento!$D$2:$D$67))</f>
        <v>0</v>
      </c>
      <c r="I33" s="83">
        <f ca="1">IF(SUMIF(Lançamento!$A$2:$A$67,"="&amp;CONCATENATE(I$10,$A33),Lançamento!$D$2:$D$67) &lt;=0,IF(_xlfn.NUMBERVALUE(CONCATENATE(YEAR($A$10),MONTH($A$10)))&lt;_xlfn.NUMBERVALUE(CONCATENATE($B$2,MONTH(I$2))),VLOOKUP(Tabela6[[#This Row],[Coluna1]],Planodecontas[],3,FALSE),0), SUMIF(Lançamento!$A$2:$A$67,"="&amp;CONCATENATE(I$10,$A33),Lançamento!$D$2:$D$67))</f>
        <v>0</v>
      </c>
      <c r="J33" s="83">
        <f ca="1">IF(SUMIF(Lançamento!$A$2:$A$67,"="&amp;CONCATENATE(J$10,$A33),Lançamento!$D$2:$D$67) &lt;=0,IF(_xlfn.NUMBERVALUE(CONCATENATE(YEAR($A$10),MONTH($A$10)))&lt;_xlfn.NUMBERVALUE(CONCATENATE($B$2,MONTH(J$2))),VLOOKUP(Tabela6[[#This Row],[Coluna1]],Planodecontas[],3,FALSE),0), SUMIF(Lançamento!$A$2:$A$67,"="&amp;CONCATENATE(J$10,$A33),Lançamento!$D$2:$D$67))</f>
        <v>0</v>
      </c>
      <c r="K33" s="83">
        <f ca="1">IF(SUMIF(Lançamento!$A$2:$A$67,"="&amp;CONCATENATE(K$10,$A33),Lançamento!$D$2:$D$67) &lt;=0,IF(_xlfn.NUMBERVALUE(CONCATENATE(YEAR($A$10),MONTH($A$10)))&lt;_xlfn.NUMBERVALUE(CONCATENATE($B$2,MONTH(K$2))),VLOOKUP(Tabela6[[#This Row],[Coluna1]],Planodecontas[],3,FALSE),0), SUMIF(Lançamento!$A$2:$A$67,"="&amp;CONCATENATE(K$10,$A33),Lançamento!$D$2:$D$67))</f>
        <v>0</v>
      </c>
      <c r="L33" s="83">
        <f ca="1">IF(SUMIF(Lançamento!$A$2:$A$67,"="&amp;CONCATENATE(L$10,$A33),Lançamento!$D$2:$D$67) &lt;=0,IF(_xlfn.NUMBERVALUE(CONCATENATE(YEAR($A$10),MONTH($A$10)))&lt;_xlfn.NUMBERVALUE(CONCATENATE($B$2,MONTH(L$2))),VLOOKUP(Tabela6[[#This Row],[Coluna1]],Planodecontas[],3,FALSE),0), SUMIF(Lançamento!$A$2:$A$67,"="&amp;CONCATENATE(L$10,$A33),Lançamento!$D$2:$D$67))</f>
        <v>0</v>
      </c>
      <c r="M33" s="83">
        <f ca="1">IF(SUMIF(Lançamento!$A$2:$A$67,"="&amp;CONCATENATE(M$10,$A33),Lançamento!$D$2:$D$67) &lt;=0,IF(_xlfn.NUMBERVALUE(CONCATENATE(YEAR($A$10),MONTH($A$10)))&lt;_xlfn.NUMBERVALUE(CONCATENATE($B$2,MONTH(M$2))),VLOOKUP(Tabela6[[#This Row],[Coluna1]],Planodecontas[],3,FALSE),0), SUMIF(Lançamento!$A$2:$A$67,"="&amp;CONCATENATE(M$10,$A33),Lançamento!$D$2:$D$67))</f>
        <v>0</v>
      </c>
      <c r="N33" s="83">
        <f>IF(SUMIF(Lançamento!$A$2:$A$67,"="&amp;CONCATENATE(N$10,$A33),Lançamento!$D$2:$D$67) &lt;=0,IF(_xlfn.NUMBERVALUE(CONCATENATE(YEAR($A$10),MONTH($A$10)))&lt;_xlfn.NUMBERVALUE(CONCATENATE($B$2,MONTH(N$2))),VLOOKUP(Tabela6[[#This Row],[Coluna1]],Planodecontas[],3,FALSE),0), SUMIF(Lançamento!$A$2:$A$67,"="&amp;CONCATENATE(N$10,$A33),Lançamento!$D$2:$D$67))</f>
        <v>2.62</v>
      </c>
      <c r="O33" s="20">
        <f ca="1">SUM(Tabela6[[#This Row],[Coluna3]:[Coluna14]])</f>
        <v>2.62</v>
      </c>
    </row>
    <row r="34" spans="1:15" x14ac:dyDescent="0.25">
      <c r="A34" s="21" t="s">
        <v>103</v>
      </c>
      <c r="B34" s="22">
        <f>VLOOKUP(A34,Planodecontas[],3,FALSE)</f>
        <v>300</v>
      </c>
      <c r="C34" s="83">
        <f ca="1">IF(SUMIF(Lançamento!$A$2:$A$67,"="&amp;CONCATENATE(C$10,$A34),Lançamento!$D$2:$D$67) &lt;=0,IF(_xlfn.NUMBERVALUE(CONCATENATE(YEAR($A$10),MONTH($A$10)))&lt;_xlfn.NUMBERVALUE(CONCATENATE($B$2,MONTH(C$2))),VLOOKUP(Tabela6[[#This Row],[Coluna1]],Planodecontas[],3,FALSE),0), SUMIF(Lançamento!$A$2:$A$67,"="&amp;CONCATENATE(C$10,$A34),Lançamento!$D$2:$D$67))</f>
        <v>0</v>
      </c>
      <c r="D34" s="83">
        <f ca="1">IF(SUMIF(Lançamento!$A$2:$A$67,"="&amp;CONCATENATE(D$10,$A34),Lançamento!$D$2:$D$67) &lt;=0,IF(_xlfn.NUMBERVALUE(CONCATENATE(YEAR($A$10),MONTH($A$10)))&lt;_xlfn.NUMBERVALUE(CONCATENATE($B$2,MONTH(D$2))),VLOOKUP(Tabela6[[#This Row],[Coluna1]],Planodecontas[],3,FALSE),0), SUMIF(Lançamento!$A$2:$A$67,"="&amp;CONCATENATE(D$10,$A34),Lançamento!$D$2:$D$67))</f>
        <v>0</v>
      </c>
      <c r="E34" s="83">
        <f ca="1">IF(SUMIF(Lançamento!$A$2:$A$67,"="&amp;CONCATENATE(E$10,$A34),Lançamento!$D$2:$D$67) &lt;=0,IF(_xlfn.NUMBERVALUE(CONCATENATE(YEAR($A$10),MONTH($A$10)))&lt;_xlfn.NUMBERVALUE(CONCATENATE($B$2,MONTH(E$2))),VLOOKUP(Tabela6[[#This Row],[Coluna1]],Planodecontas[],3,FALSE),0), SUMIF(Lançamento!$A$2:$A$67,"="&amp;CONCATENATE(E$10,$A34),Lançamento!$D$2:$D$67))</f>
        <v>0</v>
      </c>
      <c r="F34" s="83">
        <f ca="1">IF(SUMIF(Lançamento!$A$2:$A$67,"="&amp;CONCATENATE(F$10,$A34),Lançamento!$D$2:$D$67) &lt;=0,IF(_xlfn.NUMBERVALUE(CONCATENATE(YEAR($A$10),MONTH($A$10)))&lt;_xlfn.NUMBERVALUE(CONCATENATE($B$2,MONTH(F$2))),VLOOKUP(Tabela6[[#This Row],[Coluna1]],Planodecontas[],3,FALSE),0), SUMIF(Lançamento!$A$2:$A$67,"="&amp;CONCATENATE(F$10,$A34),Lançamento!$D$2:$D$67))</f>
        <v>0</v>
      </c>
      <c r="G34" s="83">
        <f ca="1">IF(SUMIF(Lançamento!$A$2:$A$67,"="&amp;CONCATENATE(G$10,$A34),Lançamento!$D$2:$D$67) &lt;=0,IF(_xlfn.NUMBERVALUE(CONCATENATE(YEAR($A$10),MONTH($A$10)))&lt;_xlfn.NUMBERVALUE(CONCATENATE($B$2,MONTH(G$2))),VLOOKUP(Tabela6[[#This Row],[Coluna1]],Planodecontas[],3,FALSE),0), SUMIF(Lançamento!$A$2:$A$67,"="&amp;CONCATENATE(G$10,$A34),Lançamento!$D$2:$D$67))</f>
        <v>300</v>
      </c>
      <c r="H34" s="83">
        <f ca="1">IF(SUMIF(Lançamento!$A$2:$A$67,"="&amp;CONCATENATE(H$10,$A34),Lançamento!$D$2:$D$67) &lt;=0,IF(_xlfn.NUMBERVALUE(CONCATENATE(YEAR($A$10),MONTH($A$10)))&lt;_xlfn.NUMBERVALUE(CONCATENATE($B$2,MONTH(H$2))),VLOOKUP(Tabela6[[#This Row],[Coluna1]],Planodecontas[],3,FALSE),0), SUMIF(Lançamento!$A$2:$A$67,"="&amp;CONCATENATE(H$10,$A34),Lançamento!$D$2:$D$67))</f>
        <v>300</v>
      </c>
      <c r="I34" s="83">
        <f ca="1">IF(SUMIF(Lançamento!$A$2:$A$67,"="&amp;CONCATENATE(I$10,$A34),Lançamento!$D$2:$D$67) &lt;=0,IF(_xlfn.NUMBERVALUE(CONCATENATE(YEAR($A$10),MONTH($A$10)))&lt;_xlfn.NUMBERVALUE(CONCATENATE($B$2,MONTH(I$2))),VLOOKUP(Tabela6[[#This Row],[Coluna1]],Planodecontas[],3,FALSE),0), SUMIF(Lançamento!$A$2:$A$67,"="&amp;CONCATENATE(I$10,$A34),Lançamento!$D$2:$D$67))</f>
        <v>300</v>
      </c>
      <c r="J34" s="83">
        <f ca="1">IF(SUMIF(Lançamento!$A$2:$A$67,"="&amp;CONCATENATE(J$10,$A34),Lançamento!$D$2:$D$67) &lt;=0,IF(_xlfn.NUMBERVALUE(CONCATENATE(YEAR($A$10),MONTH($A$10)))&lt;_xlfn.NUMBERVALUE(CONCATENATE($B$2,MONTH(J$2))),VLOOKUP(Tabela6[[#This Row],[Coluna1]],Planodecontas[],3,FALSE),0), SUMIF(Lançamento!$A$2:$A$67,"="&amp;CONCATENATE(J$10,$A34),Lançamento!$D$2:$D$67))</f>
        <v>300</v>
      </c>
      <c r="K34" s="83">
        <f ca="1">IF(SUMIF(Lançamento!$A$2:$A$67,"="&amp;CONCATENATE(K$10,$A34),Lançamento!$D$2:$D$67) &lt;=0,IF(_xlfn.NUMBERVALUE(CONCATENATE(YEAR($A$10),MONTH($A$10)))&lt;_xlfn.NUMBERVALUE(CONCATENATE($B$2,MONTH(K$2))),VLOOKUP(Tabela6[[#This Row],[Coluna1]],Planodecontas[],3,FALSE),0), SUMIF(Lançamento!$A$2:$A$67,"="&amp;CONCATENATE(K$10,$A34),Lançamento!$D$2:$D$67))</f>
        <v>300</v>
      </c>
      <c r="L34" s="83">
        <f ca="1">IF(SUMIF(Lançamento!$A$2:$A$67,"="&amp;CONCATENATE(L$10,$A34),Lançamento!$D$2:$D$67) &lt;=0,IF(_xlfn.NUMBERVALUE(CONCATENATE(YEAR($A$10),MONTH($A$10)))&lt;_xlfn.NUMBERVALUE(CONCATENATE($B$2,MONTH(L$2))),VLOOKUP(Tabela6[[#This Row],[Coluna1]],Planodecontas[],3,FALSE),0), SUMIF(Lançamento!$A$2:$A$67,"="&amp;CONCATENATE(L$10,$A34),Lançamento!$D$2:$D$67))</f>
        <v>300</v>
      </c>
      <c r="M34" s="83">
        <f ca="1">IF(SUMIF(Lançamento!$A$2:$A$67,"="&amp;CONCATENATE(M$10,$A34),Lançamento!$D$2:$D$67) &lt;=0,IF(_xlfn.NUMBERVALUE(CONCATENATE(YEAR($A$10),MONTH($A$10)))&lt;_xlfn.NUMBERVALUE(CONCATENATE($B$2,MONTH(M$2))),VLOOKUP(Tabela6[[#This Row],[Coluna1]],Planodecontas[],3,FALSE),0), SUMIF(Lançamento!$A$2:$A$67,"="&amp;CONCATENATE(M$10,$A34),Lançamento!$D$2:$D$67))</f>
        <v>300</v>
      </c>
      <c r="N34" s="83">
        <f>IF(SUMIF(Lançamento!$A$2:$A$67,"="&amp;CONCATENATE(N$10,$A34),Lançamento!$D$2:$D$67) &lt;=0,IF(_xlfn.NUMBERVALUE(CONCATENATE(YEAR($A$10),MONTH($A$10)))&lt;_xlfn.NUMBERVALUE(CONCATENATE($B$2,MONTH(N$2))),VLOOKUP(Tabela6[[#This Row],[Coluna1]],Planodecontas[],3,FALSE),0), SUMIF(Lançamento!$A$2:$A$67,"="&amp;CONCATENATE(N$10,$A34),Lançamento!$D$2:$D$67))</f>
        <v>299.89999999999998</v>
      </c>
      <c r="O34" s="20">
        <f ca="1">SUM(Tabela6[[#This Row],[Coluna3]:[Coluna14]])</f>
        <v>2399.9</v>
      </c>
    </row>
    <row r="35" spans="1:15" x14ac:dyDescent="0.25">
      <c r="A35" s="21" t="s">
        <v>69</v>
      </c>
      <c r="B35" s="22">
        <f>VLOOKUP(A35,Planodecontas[],3,FALSE)</f>
        <v>0</v>
      </c>
      <c r="C35" s="83">
        <f ca="1">IF(SUMIF(Lançamento!$A$2:$A$67,"="&amp;CONCATENATE(C$10,$A35),Lançamento!$D$2:$D$67) &lt;=0,IF(_xlfn.NUMBERVALUE(CONCATENATE(YEAR($A$10),MONTH($A$10)))&lt;_xlfn.NUMBERVALUE(CONCATENATE($B$2,MONTH(C$2))),VLOOKUP(Tabela6[[#This Row],[Coluna1]],Planodecontas[],3,FALSE),0), SUMIF(Lançamento!$A$2:$A$67,"="&amp;CONCATENATE(C$10,$A35),Lançamento!$D$2:$D$67))</f>
        <v>0</v>
      </c>
      <c r="D35" s="83">
        <f ca="1">IF(SUMIF(Lançamento!$A$2:$A$67,"="&amp;CONCATENATE(D$10,$A35),Lançamento!$D$2:$D$67) &lt;=0,IF(_xlfn.NUMBERVALUE(CONCATENATE(YEAR($A$10),MONTH($A$10)))&lt;_xlfn.NUMBERVALUE(CONCATENATE($B$2,MONTH(D$2))),VLOOKUP(Tabela6[[#This Row],[Coluna1]],Planodecontas[],3,FALSE),0), SUMIF(Lançamento!$A$2:$A$67,"="&amp;CONCATENATE(D$10,$A35),Lançamento!$D$2:$D$67))</f>
        <v>0</v>
      </c>
      <c r="E35" s="83">
        <f ca="1">IF(SUMIF(Lançamento!$A$2:$A$67,"="&amp;CONCATENATE(E$10,$A35),Lançamento!$D$2:$D$67) &lt;=0,IF(_xlfn.NUMBERVALUE(CONCATENATE(YEAR($A$10),MONTH($A$10)))&lt;_xlfn.NUMBERVALUE(CONCATENATE($B$2,MONTH(E$2))),VLOOKUP(Tabela6[[#This Row],[Coluna1]],Planodecontas[],3,FALSE),0), SUMIF(Lançamento!$A$2:$A$67,"="&amp;CONCATENATE(E$10,$A35),Lançamento!$D$2:$D$67))</f>
        <v>0</v>
      </c>
      <c r="F35" s="83">
        <f ca="1">IF(SUMIF(Lançamento!$A$2:$A$67,"="&amp;CONCATENATE(F$10,$A35),Lançamento!$D$2:$D$67) &lt;=0,IF(_xlfn.NUMBERVALUE(CONCATENATE(YEAR($A$10),MONTH($A$10)))&lt;_xlfn.NUMBERVALUE(CONCATENATE($B$2,MONTH(F$2))),VLOOKUP(Tabela6[[#This Row],[Coluna1]],Planodecontas[],3,FALSE),0), SUMIF(Lançamento!$A$2:$A$67,"="&amp;CONCATENATE(F$10,$A35),Lançamento!$D$2:$D$67))</f>
        <v>0</v>
      </c>
      <c r="G35" s="83">
        <f ca="1">IF(SUMIF(Lançamento!$A$2:$A$67,"="&amp;CONCATENATE(G$10,$A35),Lançamento!$D$2:$D$67) &lt;=0,IF(_xlfn.NUMBERVALUE(CONCATENATE(YEAR($A$10),MONTH($A$10)))&lt;_xlfn.NUMBERVALUE(CONCATENATE($B$2,MONTH(G$2))),VLOOKUP(Tabela6[[#This Row],[Coluna1]],Planodecontas[],3,FALSE),0), SUMIF(Lançamento!$A$2:$A$67,"="&amp;CONCATENATE(G$10,$A35),Lançamento!$D$2:$D$67))</f>
        <v>0</v>
      </c>
      <c r="H35" s="83">
        <f ca="1">IF(SUMIF(Lançamento!$A$2:$A$67,"="&amp;CONCATENATE(H$10,$A35),Lançamento!$D$2:$D$67) &lt;=0,IF(_xlfn.NUMBERVALUE(CONCATENATE(YEAR($A$10),MONTH($A$10)))&lt;_xlfn.NUMBERVALUE(CONCATENATE($B$2,MONTH(H$2))),VLOOKUP(Tabela6[[#This Row],[Coluna1]],Planodecontas[],3,FALSE),0), SUMIF(Lançamento!$A$2:$A$67,"="&amp;CONCATENATE(H$10,$A35),Lançamento!$D$2:$D$67))</f>
        <v>0</v>
      </c>
      <c r="I35" s="83">
        <f ca="1">IF(SUMIF(Lançamento!$A$2:$A$67,"="&amp;CONCATENATE(I$10,$A35),Lançamento!$D$2:$D$67) &lt;=0,IF(_xlfn.NUMBERVALUE(CONCATENATE(YEAR($A$10),MONTH($A$10)))&lt;_xlfn.NUMBERVALUE(CONCATENATE($B$2,MONTH(I$2))),VLOOKUP(Tabela6[[#This Row],[Coluna1]],Planodecontas[],3,FALSE),0), SUMIF(Lançamento!$A$2:$A$67,"="&amp;CONCATENATE(I$10,$A35),Lançamento!$D$2:$D$67))</f>
        <v>0</v>
      </c>
      <c r="J35" s="83">
        <f ca="1">IF(SUMIF(Lançamento!$A$2:$A$67,"="&amp;CONCATENATE(J$10,$A35),Lançamento!$D$2:$D$67) &lt;=0,IF(_xlfn.NUMBERVALUE(CONCATENATE(YEAR($A$10),MONTH($A$10)))&lt;_xlfn.NUMBERVALUE(CONCATENATE($B$2,MONTH(J$2))),VLOOKUP(Tabela6[[#This Row],[Coluna1]],Planodecontas[],3,FALSE),0), SUMIF(Lançamento!$A$2:$A$67,"="&amp;CONCATENATE(J$10,$A35),Lançamento!$D$2:$D$67))</f>
        <v>0</v>
      </c>
      <c r="K35" s="83">
        <f ca="1">IF(SUMIF(Lançamento!$A$2:$A$67,"="&amp;CONCATENATE(K$10,$A35),Lançamento!$D$2:$D$67) &lt;=0,IF(_xlfn.NUMBERVALUE(CONCATENATE(YEAR($A$10),MONTH($A$10)))&lt;_xlfn.NUMBERVALUE(CONCATENATE($B$2,MONTH(K$2))),VLOOKUP(Tabela6[[#This Row],[Coluna1]],Planodecontas[],3,FALSE),0), SUMIF(Lançamento!$A$2:$A$67,"="&amp;CONCATENATE(K$10,$A35),Lançamento!$D$2:$D$67))</f>
        <v>0</v>
      </c>
      <c r="L35" s="83">
        <f ca="1">IF(SUMIF(Lançamento!$A$2:$A$67,"="&amp;CONCATENATE(L$10,$A35),Lançamento!$D$2:$D$67) &lt;=0,IF(_xlfn.NUMBERVALUE(CONCATENATE(YEAR($A$10),MONTH($A$10)))&lt;_xlfn.NUMBERVALUE(CONCATENATE($B$2,MONTH(L$2))),VLOOKUP(Tabela6[[#This Row],[Coluna1]],Planodecontas[],3,FALSE),0), SUMIF(Lançamento!$A$2:$A$67,"="&amp;CONCATENATE(L$10,$A35),Lançamento!$D$2:$D$67))</f>
        <v>0</v>
      </c>
      <c r="M35" s="83">
        <f ca="1">IF(SUMIF(Lançamento!$A$2:$A$67,"="&amp;CONCATENATE(M$10,$A35),Lançamento!$D$2:$D$67) &lt;=0,IF(_xlfn.NUMBERVALUE(CONCATENATE(YEAR($A$10),MONTH($A$10)))&lt;_xlfn.NUMBERVALUE(CONCATENATE($B$2,MONTH(M$2))),VLOOKUP(Tabela6[[#This Row],[Coluna1]],Planodecontas[],3,FALSE),0), SUMIF(Lançamento!$A$2:$A$67,"="&amp;CONCATENATE(M$10,$A35),Lançamento!$D$2:$D$67))</f>
        <v>0</v>
      </c>
      <c r="N35" s="83">
        <f>IF(SUMIF(Lançamento!$A$2:$A$67,"="&amp;CONCATENATE(N$10,$A35),Lançamento!$D$2:$D$67) &lt;=0,IF(_xlfn.NUMBERVALUE(CONCATENATE(YEAR($A$10),MONTH($A$10)))&lt;_xlfn.NUMBERVALUE(CONCATENATE($B$2,MONTH(N$2))),VLOOKUP(Tabela6[[#This Row],[Coluna1]],Planodecontas[],3,FALSE),0), SUMIF(Lançamento!$A$2:$A$67,"="&amp;CONCATENATE(N$10,$A35),Lançamento!$D$2:$D$67))</f>
        <v>77.7</v>
      </c>
      <c r="O35" s="20">
        <f ca="1">SUM(Tabela6[[#This Row],[Coluna3]:[Coluna14]])</f>
        <v>77.7</v>
      </c>
    </row>
    <row r="36" spans="1:15" x14ac:dyDescent="0.25">
      <c r="A36" s="21" t="s">
        <v>44</v>
      </c>
      <c r="B36" s="22">
        <f>VLOOKUP(A36,Planodecontas[],3,FALSE)</f>
        <v>0</v>
      </c>
      <c r="C36" s="83">
        <f ca="1">IF(SUMIF(Lançamento!$A$2:$A$67,"="&amp;CONCATENATE(C$10,$A36),Lançamento!$D$2:$D$67) &lt;=0,IF(_xlfn.NUMBERVALUE(CONCATENATE(YEAR($A$10),MONTH($A$10)))&lt;_xlfn.NUMBERVALUE(CONCATENATE($B$2,MONTH(C$2))),VLOOKUP(Tabela6[[#This Row],[Coluna1]],Planodecontas[],3,FALSE),0), SUMIF(Lançamento!$A$2:$A$67,"="&amp;CONCATENATE(C$10,$A36),Lançamento!$D$2:$D$67))</f>
        <v>0</v>
      </c>
      <c r="D36" s="83">
        <f ca="1">IF(SUMIF(Lançamento!$A$2:$A$67,"="&amp;CONCATENATE(D$10,$A36),Lançamento!$D$2:$D$67) &lt;=0,IF(_xlfn.NUMBERVALUE(CONCATENATE(YEAR($A$10),MONTH($A$10)))&lt;_xlfn.NUMBERVALUE(CONCATENATE($B$2,MONTH(D$2))),VLOOKUP(Tabela6[[#This Row],[Coluna1]],Planodecontas[],3,FALSE),0), SUMIF(Lançamento!$A$2:$A$67,"="&amp;CONCATENATE(D$10,$A36),Lançamento!$D$2:$D$67))</f>
        <v>0</v>
      </c>
      <c r="E36" s="83">
        <f ca="1">IF(SUMIF(Lançamento!$A$2:$A$67,"="&amp;CONCATENATE(E$10,$A36),Lançamento!$D$2:$D$67) &lt;=0,IF(_xlfn.NUMBERVALUE(CONCATENATE(YEAR($A$10),MONTH($A$10)))&lt;_xlfn.NUMBERVALUE(CONCATENATE($B$2,MONTH(E$2))),VLOOKUP(Tabela6[[#This Row],[Coluna1]],Planodecontas[],3,FALSE),0), SUMIF(Lançamento!$A$2:$A$67,"="&amp;CONCATENATE(E$10,$A36),Lançamento!$D$2:$D$67))</f>
        <v>0</v>
      </c>
      <c r="F36" s="83">
        <f ca="1">IF(SUMIF(Lançamento!$A$2:$A$67,"="&amp;CONCATENATE(F$10,$A36),Lançamento!$D$2:$D$67) &lt;=0,IF(_xlfn.NUMBERVALUE(CONCATENATE(YEAR($A$10),MONTH($A$10)))&lt;_xlfn.NUMBERVALUE(CONCATENATE($B$2,MONTH(F$2))),VLOOKUP(Tabela6[[#This Row],[Coluna1]],Planodecontas[],3,FALSE),0), SUMIF(Lançamento!$A$2:$A$67,"="&amp;CONCATENATE(F$10,$A36),Lançamento!$D$2:$D$67))</f>
        <v>0</v>
      </c>
      <c r="G36" s="83">
        <f ca="1">IF(SUMIF(Lançamento!$A$2:$A$67,"="&amp;CONCATENATE(G$10,$A36),Lançamento!$D$2:$D$67) &lt;=0,IF(_xlfn.NUMBERVALUE(CONCATENATE(YEAR($A$10),MONTH($A$10)))&lt;_xlfn.NUMBERVALUE(CONCATENATE($B$2,MONTH(G$2))),VLOOKUP(Tabela6[[#This Row],[Coluna1]],Planodecontas[],3,FALSE),0), SUMIF(Lançamento!$A$2:$A$67,"="&amp;CONCATENATE(G$10,$A36),Lançamento!$D$2:$D$67))</f>
        <v>0</v>
      </c>
      <c r="H36" s="83">
        <f ca="1">IF(SUMIF(Lançamento!$A$2:$A$67,"="&amp;CONCATENATE(H$10,$A36),Lançamento!$D$2:$D$67) &lt;=0,IF(_xlfn.NUMBERVALUE(CONCATENATE(YEAR($A$10),MONTH($A$10)))&lt;_xlfn.NUMBERVALUE(CONCATENATE($B$2,MONTH(H$2))),VLOOKUP(Tabela6[[#This Row],[Coluna1]],Planodecontas[],3,FALSE),0), SUMIF(Lançamento!$A$2:$A$67,"="&amp;CONCATENATE(H$10,$A36),Lançamento!$D$2:$D$67))</f>
        <v>0</v>
      </c>
      <c r="I36" s="83">
        <f ca="1">IF(SUMIF(Lançamento!$A$2:$A$67,"="&amp;CONCATENATE(I$10,$A36),Lançamento!$D$2:$D$67) &lt;=0,IF(_xlfn.NUMBERVALUE(CONCATENATE(YEAR($A$10),MONTH($A$10)))&lt;_xlfn.NUMBERVALUE(CONCATENATE($B$2,MONTH(I$2))),VLOOKUP(Tabela6[[#This Row],[Coluna1]],Planodecontas[],3,FALSE),0), SUMIF(Lançamento!$A$2:$A$67,"="&amp;CONCATENATE(I$10,$A36),Lançamento!$D$2:$D$67))</f>
        <v>0</v>
      </c>
      <c r="J36" s="83">
        <f ca="1">IF(SUMIF(Lançamento!$A$2:$A$67,"="&amp;CONCATENATE(J$10,$A36),Lançamento!$D$2:$D$67) &lt;=0,IF(_xlfn.NUMBERVALUE(CONCATENATE(YEAR($A$10),MONTH($A$10)))&lt;_xlfn.NUMBERVALUE(CONCATENATE($B$2,MONTH(J$2))),VLOOKUP(Tabela6[[#This Row],[Coluna1]],Planodecontas[],3,FALSE),0), SUMIF(Lançamento!$A$2:$A$67,"="&amp;CONCATENATE(J$10,$A36),Lançamento!$D$2:$D$67))</f>
        <v>0</v>
      </c>
      <c r="K36" s="83">
        <f ca="1">IF(SUMIF(Lançamento!$A$2:$A$67,"="&amp;CONCATENATE(K$10,$A36),Lançamento!$D$2:$D$67) &lt;=0,IF(_xlfn.NUMBERVALUE(CONCATENATE(YEAR($A$10),MONTH($A$10)))&lt;_xlfn.NUMBERVALUE(CONCATENATE($B$2,MONTH(K$2))),VLOOKUP(Tabela6[[#This Row],[Coluna1]],Planodecontas[],3,FALSE),0), SUMIF(Lançamento!$A$2:$A$67,"="&amp;CONCATENATE(K$10,$A36),Lançamento!$D$2:$D$67))</f>
        <v>0</v>
      </c>
      <c r="L36" s="83">
        <f ca="1">IF(SUMIF(Lançamento!$A$2:$A$67,"="&amp;CONCATENATE(L$10,$A36),Lançamento!$D$2:$D$67) &lt;=0,IF(_xlfn.NUMBERVALUE(CONCATENATE(YEAR($A$10),MONTH($A$10)))&lt;_xlfn.NUMBERVALUE(CONCATENATE($B$2,MONTH(L$2))),VLOOKUP(Tabela6[[#This Row],[Coluna1]],Planodecontas[],3,FALSE),0), SUMIF(Lançamento!$A$2:$A$67,"="&amp;CONCATENATE(L$10,$A36),Lançamento!$D$2:$D$67))</f>
        <v>0</v>
      </c>
      <c r="M36" s="83">
        <f ca="1">IF(SUMIF(Lançamento!$A$2:$A$67,"="&amp;CONCATENATE(M$10,$A36),Lançamento!$D$2:$D$67) &lt;=0,IF(_xlfn.NUMBERVALUE(CONCATENATE(YEAR($A$10),MONTH($A$10)))&lt;_xlfn.NUMBERVALUE(CONCATENATE($B$2,MONTH(M$2))),VLOOKUP(Tabela6[[#This Row],[Coluna1]],Planodecontas[],3,FALSE),0), SUMIF(Lançamento!$A$2:$A$67,"="&amp;CONCATENATE(M$10,$A36),Lançamento!$D$2:$D$67))</f>
        <v>0</v>
      </c>
      <c r="N36" s="83">
        <f>IF(SUMIF(Lançamento!$A$2:$A$67,"="&amp;CONCATENATE(N$10,$A36),Lançamento!$D$2:$D$67) &lt;=0,IF(_xlfn.NUMBERVALUE(CONCATENATE(YEAR($A$10),MONTH($A$10)))&lt;_xlfn.NUMBERVALUE(CONCATENATE($B$2,MONTH(N$2))),VLOOKUP(Tabela6[[#This Row],[Coluna1]],Planodecontas[],3,FALSE),0), SUMIF(Lançamento!$A$2:$A$67,"="&amp;CONCATENATE(N$10,$A36),Lançamento!$D$2:$D$67))</f>
        <v>275</v>
      </c>
      <c r="O36" s="20">
        <f ca="1">SUM(Tabela6[[#This Row],[Coluna3]:[Coluna14]])</f>
        <v>275</v>
      </c>
    </row>
    <row r="37" spans="1:15" x14ac:dyDescent="0.25">
      <c r="A37" s="21" t="s">
        <v>45</v>
      </c>
      <c r="B37" s="22">
        <f>VLOOKUP(A37,Planodecontas[],3,FALSE)</f>
        <v>0</v>
      </c>
      <c r="C37" s="83">
        <f ca="1">IF(SUMIF(Lançamento!$A$2:$A$67,"="&amp;CONCATENATE(C$10,$A37),Lançamento!$D$2:$D$67) &lt;=0,IF(_xlfn.NUMBERVALUE(CONCATENATE(YEAR($A$10),MONTH($A$10)))&lt;_xlfn.NUMBERVALUE(CONCATENATE($B$2,MONTH(C$2))),VLOOKUP(Tabela6[[#This Row],[Coluna1]],Planodecontas[],3,FALSE),0), SUMIF(Lançamento!$A$2:$A$67,"="&amp;CONCATENATE(C$10,$A37),Lançamento!$D$2:$D$67))</f>
        <v>0</v>
      </c>
      <c r="D37" s="83">
        <f ca="1">IF(SUMIF(Lançamento!$A$2:$A$67,"="&amp;CONCATENATE(D$10,$A37),Lançamento!$D$2:$D$67) &lt;=0,IF(_xlfn.NUMBERVALUE(CONCATENATE(YEAR($A$10),MONTH($A$10)))&lt;_xlfn.NUMBERVALUE(CONCATENATE($B$2,MONTH(D$2))),VLOOKUP(Tabela6[[#This Row],[Coluna1]],Planodecontas[],3,FALSE),0), SUMIF(Lançamento!$A$2:$A$67,"="&amp;CONCATENATE(D$10,$A37),Lançamento!$D$2:$D$67))</f>
        <v>0</v>
      </c>
      <c r="E37" s="83">
        <f ca="1">IF(SUMIF(Lançamento!$A$2:$A$67,"="&amp;CONCATENATE(E$10,$A37),Lançamento!$D$2:$D$67) &lt;=0,IF(_xlfn.NUMBERVALUE(CONCATENATE(YEAR($A$10),MONTH($A$10)))&lt;_xlfn.NUMBERVALUE(CONCATENATE($B$2,MONTH(E$2))),VLOOKUP(Tabela6[[#This Row],[Coluna1]],Planodecontas[],3,FALSE),0), SUMIF(Lançamento!$A$2:$A$67,"="&amp;CONCATENATE(E$10,$A37),Lançamento!$D$2:$D$67))</f>
        <v>0</v>
      </c>
      <c r="F37" s="83">
        <f ca="1">IF(SUMIF(Lançamento!$A$2:$A$67,"="&amp;CONCATENATE(F$10,$A37),Lançamento!$D$2:$D$67) &lt;=0,IF(_xlfn.NUMBERVALUE(CONCATENATE(YEAR($A$10),MONTH($A$10)))&lt;_xlfn.NUMBERVALUE(CONCATENATE($B$2,MONTH(F$2))),VLOOKUP(Tabela6[[#This Row],[Coluna1]],Planodecontas[],3,FALSE),0), SUMIF(Lançamento!$A$2:$A$67,"="&amp;CONCATENATE(F$10,$A37),Lançamento!$D$2:$D$67))</f>
        <v>0</v>
      </c>
      <c r="G37" s="83">
        <f ca="1">IF(SUMIF(Lançamento!$A$2:$A$67,"="&amp;CONCATENATE(G$10,$A37),Lançamento!$D$2:$D$67) &lt;=0,IF(_xlfn.NUMBERVALUE(CONCATENATE(YEAR($A$10),MONTH($A$10)))&lt;_xlfn.NUMBERVALUE(CONCATENATE($B$2,MONTH(G$2))),VLOOKUP(Tabela6[[#This Row],[Coluna1]],Planodecontas[],3,FALSE),0), SUMIF(Lançamento!$A$2:$A$67,"="&amp;CONCATENATE(G$10,$A37),Lançamento!$D$2:$D$67))</f>
        <v>0</v>
      </c>
      <c r="H37" s="83">
        <f ca="1">IF(SUMIF(Lançamento!$A$2:$A$67,"="&amp;CONCATENATE(H$10,$A37),Lançamento!$D$2:$D$67) &lt;=0,IF(_xlfn.NUMBERVALUE(CONCATENATE(YEAR($A$10),MONTH($A$10)))&lt;_xlfn.NUMBERVALUE(CONCATENATE($B$2,MONTH(H$2))),VLOOKUP(Tabela6[[#This Row],[Coluna1]],Planodecontas[],3,FALSE),0), SUMIF(Lançamento!$A$2:$A$67,"="&amp;CONCATENATE(H$10,$A37),Lançamento!$D$2:$D$67))</f>
        <v>0</v>
      </c>
      <c r="I37" s="83">
        <f ca="1">IF(SUMIF(Lançamento!$A$2:$A$67,"="&amp;CONCATENATE(I$10,$A37),Lançamento!$D$2:$D$67) &lt;=0,IF(_xlfn.NUMBERVALUE(CONCATENATE(YEAR($A$10),MONTH($A$10)))&lt;_xlfn.NUMBERVALUE(CONCATENATE($B$2,MONTH(I$2))),VLOOKUP(Tabela6[[#This Row],[Coluna1]],Planodecontas[],3,FALSE),0), SUMIF(Lançamento!$A$2:$A$67,"="&amp;CONCATENATE(I$10,$A37),Lançamento!$D$2:$D$67))</f>
        <v>0</v>
      </c>
      <c r="J37" s="83">
        <f ca="1">IF(SUMIF(Lançamento!$A$2:$A$67,"="&amp;CONCATENATE(J$10,$A37),Lançamento!$D$2:$D$67) &lt;=0,IF(_xlfn.NUMBERVALUE(CONCATENATE(YEAR($A$10),MONTH($A$10)))&lt;_xlfn.NUMBERVALUE(CONCATENATE($B$2,MONTH(J$2))),VLOOKUP(Tabela6[[#This Row],[Coluna1]],Planodecontas[],3,FALSE),0), SUMIF(Lançamento!$A$2:$A$67,"="&amp;CONCATENATE(J$10,$A37),Lançamento!$D$2:$D$67))</f>
        <v>0</v>
      </c>
      <c r="K37" s="83">
        <f ca="1">IF(SUMIF(Lançamento!$A$2:$A$67,"="&amp;CONCATENATE(K$10,$A37),Lançamento!$D$2:$D$67) &lt;=0,IF(_xlfn.NUMBERVALUE(CONCATENATE(YEAR($A$10),MONTH($A$10)))&lt;_xlfn.NUMBERVALUE(CONCATENATE($B$2,MONTH(K$2))),VLOOKUP(Tabela6[[#This Row],[Coluna1]],Planodecontas[],3,FALSE),0), SUMIF(Lançamento!$A$2:$A$67,"="&amp;CONCATENATE(K$10,$A37),Lançamento!$D$2:$D$67))</f>
        <v>0</v>
      </c>
      <c r="L37" s="83">
        <f ca="1">IF(SUMIF(Lançamento!$A$2:$A$67,"="&amp;CONCATENATE(L$10,$A37),Lançamento!$D$2:$D$67) &lt;=0,IF(_xlfn.NUMBERVALUE(CONCATENATE(YEAR($A$10),MONTH($A$10)))&lt;_xlfn.NUMBERVALUE(CONCATENATE($B$2,MONTH(L$2))),VLOOKUP(Tabela6[[#This Row],[Coluna1]],Planodecontas[],3,FALSE),0), SUMIF(Lançamento!$A$2:$A$67,"="&amp;CONCATENATE(L$10,$A37),Lançamento!$D$2:$D$67))</f>
        <v>0</v>
      </c>
      <c r="M37" s="83">
        <f ca="1">IF(SUMIF(Lançamento!$A$2:$A$67,"="&amp;CONCATENATE(M$10,$A37),Lançamento!$D$2:$D$67) &lt;=0,IF(_xlfn.NUMBERVALUE(CONCATENATE(YEAR($A$10),MONTH($A$10)))&lt;_xlfn.NUMBERVALUE(CONCATENATE($B$2,MONTH(M$2))),VLOOKUP(Tabela6[[#This Row],[Coluna1]],Planodecontas[],3,FALSE),0), SUMIF(Lançamento!$A$2:$A$67,"="&amp;CONCATENATE(M$10,$A37),Lançamento!$D$2:$D$67))</f>
        <v>0</v>
      </c>
      <c r="N37" s="83">
        <f>IF(SUMIF(Lançamento!$A$2:$A$67,"="&amp;CONCATENATE(N$10,$A37),Lançamento!$D$2:$D$67) &lt;=0,IF(_xlfn.NUMBERVALUE(CONCATENATE(YEAR($A$10),MONTH($A$10)))&lt;_xlfn.NUMBERVALUE(CONCATENATE($B$2,MONTH(N$2))),VLOOKUP(Tabela6[[#This Row],[Coluna1]],Planodecontas[],3,FALSE),0), SUMIF(Lançamento!$A$2:$A$67,"="&amp;CONCATENATE(N$10,$A37),Lançamento!$D$2:$D$67))</f>
        <v>136.19</v>
      </c>
      <c r="O37" s="20">
        <f ca="1">SUM(Tabela6[[#This Row],[Coluna3]:[Coluna14]])</f>
        <v>136.19</v>
      </c>
    </row>
    <row r="38" spans="1:15" x14ac:dyDescent="0.25">
      <c r="A38" s="21" t="s">
        <v>46</v>
      </c>
      <c r="B38" s="22">
        <f>VLOOKUP(A38,Planodecontas[],3,FALSE)</f>
        <v>55</v>
      </c>
      <c r="C38" s="83">
        <f ca="1">IF(SUMIF(Lançamento!$A$2:$A$67,"="&amp;CONCATENATE(C$10,$A38),Lançamento!$D$2:$D$67) &lt;=0,IF(_xlfn.NUMBERVALUE(CONCATENATE(YEAR($A$10),MONTH($A$10)))&lt;_xlfn.NUMBERVALUE(CONCATENATE($B$2,MONTH(C$2))),VLOOKUP(Tabela6[[#This Row],[Coluna1]],Planodecontas[],3,FALSE),0), SUMIF(Lançamento!$A$2:$A$67,"="&amp;CONCATENATE(C$10,$A38),Lançamento!$D$2:$D$67))</f>
        <v>0</v>
      </c>
      <c r="D38" s="83">
        <f ca="1">IF(SUMIF(Lançamento!$A$2:$A$67,"="&amp;CONCATENATE(D$10,$A38),Lançamento!$D$2:$D$67) &lt;=0,IF(_xlfn.NUMBERVALUE(CONCATENATE(YEAR($A$10),MONTH($A$10)))&lt;_xlfn.NUMBERVALUE(CONCATENATE($B$2,MONTH(D$2))),VLOOKUP(Tabela6[[#This Row],[Coluna1]],Planodecontas[],3,FALSE),0), SUMIF(Lançamento!$A$2:$A$67,"="&amp;CONCATENATE(D$10,$A38),Lançamento!$D$2:$D$67))</f>
        <v>0</v>
      </c>
      <c r="E38" s="83">
        <f ca="1">IF(SUMIF(Lançamento!$A$2:$A$67,"="&amp;CONCATENATE(E$10,$A38),Lançamento!$D$2:$D$67) &lt;=0,IF(_xlfn.NUMBERVALUE(CONCATENATE(YEAR($A$10),MONTH($A$10)))&lt;_xlfn.NUMBERVALUE(CONCATENATE($B$2,MONTH(E$2))),VLOOKUP(Tabela6[[#This Row],[Coluna1]],Planodecontas[],3,FALSE),0), SUMIF(Lançamento!$A$2:$A$67,"="&amp;CONCATENATE(E$10,$A38),Lançamento!$D$2:$D$67))</f>
        <v>0</v>
      </c>
      <c r="F38" s="83">
        <f ca="1">IF(SUMIF(Lançamento!$A$2:$A$67,"="&amp;CONCATENATE(F$10,$A38),Lançamento!$D$2:$D$67) &lt;=0,IF(_xlfn.NUMBERVALUE(CONCATENATE(YEAR($A$10),MONTH($A$10)))&lt;_xlfn.NUMBERVALUE(CONCATENATE($B$2,MONTH(F$2))),VLOOKUP(Tabela6[[#This Row],[Coluna1]],Planodecontas[],3,FALSE),0), SUMIF(Lançamento!$A$2:$A$67,"="&amp;CONCATENATE(F$10,$A38),Lançamento!$D$2:$D$67))</f>
        <v>0</v>
      </c>
      <c r="G38" s="83">
        <f ca="1">IF(SUMIF(Lançamento!$A$2:$A$67,"="&amp;CONCATENATE(G$10,$A38),Lançamento!$D$2:$D$67) &lt;=0,IF(_xlfn.NUMBERVALUE(CONCATENATE(YEAR($A$10),MONTH($A$10)))&lt;_xlfn.NUMBERVALUE(CONCATENATE($B$2,MONTH(G$2))),VLOOKUP(Tabela6[[#This Row],[Coluna1]],Planodecontas[],3,FALSE),0), SUMIF(Lançamento!$A$2:$A$67,"="&amp;CONCATENATE(G$10,$A38),Lançamento!$D$2:$D$67))</f>
        <v>55</v>
      </c>
      <c r="H38" s="83">
        <f ca="1">IF(SUMIF(Lançamento!$A$2:$A$67,"="&amp;CONCATENATE(H$10,$A38),Lançamento!$D$2:$D$67) &lt;=0,IF(_xlfn.NUMBERVALUE(CONCATENATE(YEAR($A$10),MONTH($A$10)))&lt;_xlfn.NUMBERVALUE(CONCATENATE($B$2,MONTH(H$2))),VLOOKUP(Tabela6[[#This Row],[Coluna1]],Planodecontas[],3,FALSE),0), SUMIF(Lançamento!$A$2:$A$67,"="&amp;CONCATENATE(H$10,$A38),Lançamento!$D$2:$D$67))</f>
        <v>55</v>
      </c>
      <c r="I38" s="83">
        <f ca="1">IF(SUMIF(Lançamento!$A$2:$A$67,"="&amp;CONCATENATE(I$10,$A38),Lançamento!$D$2:$D$67) &lt;=0,IF(_xlfn.NUMBERVALUE(CONCATENATE(YEAR($A$10),MONTH($A$10)))&lt;_xlfn.NUMBERVALUE(CONCATENATE($B$2,MONTH(I$2))),VLOOKUP(Tabela6[[#This Row],[Coluna1]],Planodecontas[],3,FALSE),0), SUMIF(Lançamento!$A$2:$A$67,"="&amp;CONCATENATE(I$10,$A38),Lançamento!$D$2:$D$67))</f>
        <v>55</v>
      </c>
      <c r="J38" s="83">
        <f ca="1">IF(SUMIF(Lançamento!$A$2:$A$67,"="&amp;CONCATENATE(J$10,$A38),Lançamento!$D$2:$D$67) &lt;=0,IF(_xlfn.NUMBERVALUE(CONCATENATE(YEAR($A$10),MONTH($A$10)))&lt;_xlfn.NUMBERVALUE(CONCATENATE($B$2,MONTH(J$2))),VLOOKUP(Tabela6[[#This Row],[Coluna1]],Planodecontas[],3,FALSE),0), SUMIF(Lançamento!$A$2:$A$67,"="&amp;CONCATENATE(J$10,$A38),Lançamento!$D$2:$D$67))</f>
        <v>55</v>
      </c>
      <c r="K38" s="83">
        <f ca="1">IF(SUMIF(Lançamento!$A$2:$A$67,"="&amp;CONCATENATE(K$10,$A38),Lançamento!$D$2:$D$67) &lt;=0,IF(_xlfn.NUMBERVALUE(CONCATENATE(YEAR($A$10),MONTH($A$10)))&lt;_xlfn.NUMBERVALUE(CONCATENATE($B$2,MONTH(K$2))),VLOOKUP(Tabela6[[#This Row],[Coluna1]],Planodecontas[],3,FALSE),0), SUMIF(Lançamento!$A$2:$A$67,"="&amp;CONCATENATE(K$10,$A38),Lançamento!$D$2:$D$67))</f>
        <v>55</v>
      </c>
      <c r="L38" s="83">
        <f ca="1">IF(SUMIF(Lançamento!$A$2:$A$67,"="&amp;CONCATENATE(L$10,$A38),Lançamento!$D$2:$D$67) &lt;=0,IF(_xlfn.NUMBERVALUE(CONCATENATE(YEAR($A$10),MONTH($A$10)))&lt;_xlfn.NUMBERVALUE(CONCATENATE($B$2,MONTH(L$2))),VLOOKUP(Tabela6[[#This Row],[Coluna1]],Planodecontas[],3,FALSE),0), SUMIF(Lançamento!$A$2:$A$67,"="&amp;CONCATENATE(L$10,$A38),Lançamento!$D$2:$D$67))</f>
        <v>55</v>
      </c>
      <c r="M38" s="83">
        <f ca="1">IF(SUMIF(Lançamento!$A$2:$A$67,"="&amp;CONCATENATE(M$10,$A38),Lançamento!$D$2:$D$67) &lt;=0,IF(_xlfn.NUMBERVALUE(CONCATENATE(YEAR($A$10),MONTH($A$10)))&lt;_xlfn.NUMBERVALUE(CONCATENATE($B$2,MONTH(M$2))),VLOOKUP(Tabela6[[#This Row],[Coluna1]],Planodecontas[],3,FALSE),0), SUMIF(Lançamento!$A$2:$A$67,"="&amp;CONCATENATE(M$10,$A38),Lançamento!$D$2:$D$67))</f>
        <v>55</v>
      </c>
      <c r="N38" s="83">
        <f>IF(SUMIF(Lançamento!$A$2:$A$67,"="&amp;CONCATENATE(N$10,$A38),Lançamento!$D$2:$D$67) &lt;=0,IF(_xlfn.NUMBERVALUE(CONCATENATE(YEAR($A$10),MONTH($A$10)))&lt;_xlfn.NUMBERVALUE(CONCATENATE($B$2,MONTH(N$2))),VLOOKUP(Tabela6[[#This Row],[Coluna1]],Planodecontas[],3,FALSE),0), SUMIF(Lançamento!$A$2:$A$67,"="&amp;CONCATENATE(N$10,$A38),Lançamento!$D$2:$D$67))</f>
        <v>16.899999999999999</v>
      </c>
      <c r="O38" s="20">
        <f ca="1">SUM(Tabela6[[#This Row],[Coluna3]:[Coluna14]])</f>
        <v>401.9</v>
      </c>
    </row>
    <row r="39" spans="1:15" x14ac:dyDescent="0.25">
      <c r="A39" s="21" t="s">
        <v>47</v>
      </c>
      <c r="B39" s="22">
        <f>VLOOKUP(A39,Planodecontas[],3,FALSE)</f>
        <v>0</v>
      </c>
      <c r="C39" s="83">
        <f ca="1">IF(SUMIF(Lançamento!$A$2:$A$67,"="&amp;CONCATENATE(C$10,$A39),Lançamento!$D$2:$D$67) &lt;=0,IF(_xlfn.NUMBERVALUE(CONCATENATE(YEAR($A$10),MONTH($A$10)))&lt;_xlfn.NUMBERVALUE(CONCATENATE($B$2,MONTH(C$2))),VLOOKUP(Tabela6[[#This Row],[Coluna1]],Planodecontas[],3,FALSE),0), SUMIF(Lançamento!$A$2:$A$67,"="&amp;CONCATENATE(C$10,$A39),Lançamento!$D$2:$D$67))</f>
        <v>0</v>
      </c>
      <c r="D39" s="83">
        <f ca="1">IF(SUMIF(Lançamento!$A$2:$A$67,"="&amp;CONCATENATE(D$10,$A39),Lançamento!$D$2:$D$67) &lt;=0,IF(_xlfn.NUMBERVALUE(CONCATENATE(YEAR($A$10),MONTH($A$10)))&lt;_xlfn.NUMBERVALUE(CONCATENATE($B$2,MONTH(D$2))),VLOOKUP(Tabela6[[#This Row],[Coluna1]],Planodecontas[],3,FALSE),0), SUMIF(Lançamento!$A$2:$A$67,"="&amp;CONCATENATE(D$10,$A39),Lançamento!$D$2:$D$67))</f>
        <v>0</v>
      </c>
      <c r="E39" s="83">
        <f ca="1">IF(SUMIF(Lançamento!$A$2:$A$67,"="&amp;CONCATENATE(E$10,$A39),Lançamento!$D$2:$D$67) &lt;=0,IF(_xlfn.NUMBERVALUE(CONCATENATE(YEAR($A$10),MONTH($A$10)))&lt;_xlfn.NUMBERVALUE(CONCATENATE($B$2,MONTH(E$2))),VLOOKUP(Tabela6[[#This Row],[Coluna1]],Planodecontas[],3,FALSE),0), SUMIF(Lançamento!$A$2:$A$67,"="&amp;CONCATENATE(E$10,$A39),Lançamento!$D$2:$D$67))</f>
        <v>0</v>
      </c>
      <c r="F39" s="83">
        <f ca="1">IF(SUMIF(Lançamento!$A$2:$A$67,"="&amp;CONCATENATE(F$10,$A39),Lançamento!$D$2:$D$67) &lt;=0,IF(_xlfn.NUMBERVALUE(CONCATENATE(YEAR($A$10),MONTH($A$10)))&lt;_xlfn.NUMBERVALUE(CONCATENATE($B$2,MONTH(F$2))),VLOOKUP(Tabela6[[#This Row],[Coluna1]],Planodecontas[],3,FALSE),0), SUMIF(Lançamento!$A$2:$A$67,"="&amp;CONCATENATE(F$10,$A39),Lançamento!$D$2:$D$67))</f>
        <v>0</v>
      </c>
      <c r="G39" s="83">
        <f ca="1">IF(SUMIF(Lançamento!$A$2:$A$67,"="&amp;CONCATENATE(G$10,$A39),Lançamento!$D$2:$D$67) &lt;=0,IF(_xlfn.NUMBERVALUE(CONCATENATE(YEAR($A$10),MONTH($A$10)))&lt;_xlfn.NUMBERVALUE(CONCATENATE($B$2,MONTH(G$2))),VLOOKUP(Tabela6[[#This Row],[Coluna1]],Planodecontas[],3,FALSE),0), SUMIF(Lançamento!$A$2:$A$67,"="&amp;CONCATENATE(G$10,$A39),Lançamento!$D$2:$D$67))</f>
        <v>0</v>
      </c>
      <c r="H39" s="83">
        <f ca="1">IF(SUMIF(Lançamento!$A$2:$A$67,"="&amp;CONCATENATE(H$10,$A39),Lançamento!$D$2:$D$67) &lt;=0,IF(_xlfn.NUMBERVALUE(CONCATENATE(YEAR($A$10),MONTH($A$10)))&lt;_xlfn.NUMBERVALUE(CONCATENATE($B$2,MONTH(H$2))),VLOOKUP(Tabela6[[#This Row],[Coluna1]],Planodecontas[],3,FALSE),0), SUMIF(Lançamento!$A$2:$A$67,"="&amp;CONCATENATE(H$10,$A39),Lançamento!$D$2:$D$67))</f>
        <v>0</v>
      </c>
      <c r="I39" s="83">
        <f ca="1">IF(SUMIF(Lançamento!$A$2:$A$67,"="&amp;CONCATENATE(I$10,$A39),Lançamento!$D$2:$D$67) &lt;=0,IF(_xlfn.NUMBERVALUE(CONCATENATE(YEAR($A$10),MONTH($A$10)))&lt;_xlfn.NUMBERVALUE(CONCATENATE($B$2,MONTH(I$2))),VLOOKUP(Tabela6[[#This Row],[Coluna1]],Planodecontas[],3,FALSE),0), SUMIF(Lançamento!$A$2:$A$67,"="&amp;CONCATENATE(I$10,$A39),Lançamento!$D$2:$D$67))</f>
        <v>0</v>
      </c>
      <c r="J39" s="83">
        <f ca="1">IF(SUMIF(Lançamento!$A$2:$A$67,"="&amp;CONCATENATE(J$10,$A39),Lançamento!$D$2:$D$67) &lt;=0,IF(_xlfn.NUMBERVALUE(CONCATENATE(YEAR($A$10),MONTH($A$10)))&lt;_xlfn.NUMBERVALUE(CONCATENATE($B$2,MONTH(J$2))),VLOOKUP(Tabela6[[#This Row],[Coluna1]],Planodecontas[],3,FALSE),0), SUMIF(Lançamento!$A$2:$A$67,"="&amp;CONCATENATE(J$10,$A39),Lançamento!$D$2:$D$67))</f>
        <v>0</v>
      </c>
      <c r="K39" s="83">
        <f ca="1">IF(SUMIF(Lançamento!$A$2:$A$67,"="&amp;CONCATENATE(K$10,$A39),Lançamento!$D$2:$D$67) &lt;=0,IF(_xlfn.NUMBERVALUE(CONCATENATE(YEAR($A$10),MONTH($A$10)))&lt;_xlfn.NUMBERVALUE(CONCATENATE($B$2,MONTH(K$2))),VLOOKUP(Tabela6[[#This Row],[Coluna1]],Planodecontas[],3,FALSE),0), SUMIF(Lançamento!$A$2:$A$67,"="&amp;CONCATENATE(K$10,$A39),Lançamento!$D$2:$D$67))</f>
        <v>0</v>
      </c>
      <c r="L39" s="83">
        <f ca="1">IF(SUMIF(Lançamento!$A$2:$A$67,"="&amp;CONCATENATE(L$10,$A39),Lançamento!$D$2:$D$67) &lt;=0,IF(_xlfn.NUMBERVALUE(CONCATENATE(YEAR($A$10),MONTH($A$10)))&lt;_xlfn.NUMBERVALUE(CONCATENATE($B$2,MONTH(L$2))),VLOOKUP(Tabela6[[#This Row],[Coluna1]],Planodecontas[],3,FALSE),0), SUMIF(Lançamento!$A$2:$A$67,"="&amp;CONCATENATE(L$10,$A39),Lançamento!$D$2:$D$67))</f>
        <v>0</v>
      </c>
      <c r="M39" s="83">
        <f ca="1">IF(SUMIF(Lançamento!$A$2:$A$67,"="&amp;CONCATENATE(M$10,$A39),Lançamento!$D$2:$D$67) &lt;=0,IF(_xlfn.NUMBERVALUE(CONCATENATE(YEAR($A$10),MONTH($A$10)))&lt;_xlfn.NUMBERVALUE(CONCATENATE($B$2,MONTH(M$2))),VLOOKUP(Tabela6[[#This Row],[Coluna1]],Planodecontas[],3,FALSE),0), SUMIF(Lançamento!$A$2:$A$67,"="&amp;CONCATENATE(M$10,$A39),Lançamento!$D$2:$D$67))</f>
        <v>0</v>
      </c>
      <c r="N39" s="83">
        <f>IF(SUMIF(Lançamento!$A$2:$A$67,"="&amp;CONCATENATE(N$10,$A39),Lançamento!$D$2:$D$67) &lt;=0,IF(_xlfn.NUMBERVALUE(CONCATENATE(YEAR($A$10),MONTH($A$10)))&lt;_xlfn.NUMBERVALUE(CONCATENATE($B$2,MONTH(N$2))),VLOOKUP(Tabela6[[#This Row],[Coluna1]],Planodecontas[],3,FALSE),0), SUMIF(Lançamento!$A$2:$A$67,"="&amp;CONCATENATE(N$10,$A39),Lançamento!$D$2:$D$67))</f>
        <v>149.15</v>
      </c>
      <c r="O39" s="20">
        <f ca="1">SUM(Tabela6[[#This Row],[Coluna3]:[Coluna14]])</f>
        <v>149.15</v>
      </c>
    </row>
    <row r="40" spans="1:15" x14ac:dyDescent="0.25">
      <c r="A40" s="21" t="s">
        <v>48</v>
      </c>
      <c r="B40" s="22">
        <f>VLOOKUP(A40,Planodecontas[],3,FALSE)</f>
        <v>0</v>
      </c>
      <c r="C40" s="83">
        <f ca="1">IF(SUMIF(Lançamento!$A$2:$A$67,"="&amp;CONCATENATE(C$10,$A40),Lançamento!$D$2:$D$67) &lt;=0,IF(_xlfn.NUMBERVALUE(CONCATENATE(YEAR($A$10),MONTH($A$10)))&lt;_xlfn.NUMBERVALUE(CONCATENATE($B$2,MONTH(C$2))),VLOOKUP(Tabela6[[#This Row],[Coluna1]],Planodecontas[],3,FALSE),0), SUMIF(Lançamento!$A$2:$A$67,"="&amp;CONCATENATE(C$10,$A40),Lançamento!$D$2:$D$67))</f>
        <v>0</v>
      </c>
      <c r="D40" s="83">
        <f ca="1">IF(SUMIF(Lançamento!$A$2:$A$67,"="&amp;CONCATENATE(D$10,$A40),Lançamento!$D$2:$D$67) &lt;=0,IF(_xlfn.NUMBERVALUE(CONCATENATE(YEAR($A$10),MONTH($A$10)))&lt;_xlfn.NUMBERVALUE(CONCATENATE($B$2,MONTH(D$2))),VLOOKUP(Tabela6[[#This Row],[Coluna1]],Planodecontas[],3,FALSE),0), SUMIF(Lançamento!$A$2:$A$67,"="&amp;CONCATENATE(D$10,$A40),Lançamento!$D$2:$D$67))</f>
        <v>0</v>
      </c>
      <c r="E40" s="83">
        <f ca="1">IF(SUMIF(Lançamento!$A$2:$A$67,"="&amp;CONCATENATE(E$10,$A40),Lançamento!$D$2:$D$67) &lt;=0,IF(_xlfn.NUMBERVALUE(CONCATENATE(YEAR($A$10),MONTH($A$10)))&lt;_xlfn.NUMBERVALUE(CONCATENATE($B$2,MONTH(E$2))),VLOOKUP(Tabela6[[#This Row],[Coluna1]],Planodecontas[],3,FALSE),0), SUMIF(Lançamento!$A$2:$A$67,"="&amp;CONCATENATE(E$10,$A40),Lançamento!$D$2:$D$67))</f>
        <v>0</v>
      </c>
      <c r="F40" s="83">
        <f ca="1">IF(SUMIF(Lançamento!$A$2:$A$67,"="&amp;CONCATENATE(F$10,$A40),Lançamento!$D$2:$D$67) &lt;=0,IF(_xlfn.NUMBERVALUE(CONCATENATE(YEAR($A$10),MONTH($A$10)))&lt;_xlfn.NUMBERVALUE(CONCATENATE($B$2,MONTH(F$2))),VLOOKUP(Tabela6[[#This Row],[Coluna1]],Planodecontas[],3,FALSE),0), SUMIF(Lançamento!$A$2:$A$67,"="&amp;CONCATENATE(F$10,$A40),Lançamento!$D$2:$D$67))</f>
        <v>0</v>
      </c>
      <c r="G40" s="83">
        <f ca="1">IF(SUMIF(Lançamento!$A$2:$A$67,"="&amp;CONCATENATE(G$10,$A40),Lançamento!$D$2:$D$67) &lt;=0,IF(_xlfn.NUMBERVALUE(CONCATENATE(YEAR($A$10),MONTH($A$10)))&lt;_xlfn.NUMBERVALUE(CONCATENATE($B$2,MONTH(G$2))),VLOOKUP(Tabela6[[#This Row],[Coluna1]],Planodecontas[],3,FALSE),0), SUMIF(Lançamento!$A$2:$A$67,"="&amp;CONCATENATE(G$10,$A40),Lançamento!$D$2:$D$67))</f>
        <v>0</v>
      </c>
      <c r="H40" s="83">
        <f ca="1">IF(SUMIF(Lançamento!$A$2:$A$67,"="&amp;CONCATENATE(H$10,$A40),Lançamento!$D$2:$D$67) &lt;=0,IF(_xlfn.NUMBERVALUE(CONCATENATE(YEAR($A$10),MONTH($A$10)))&lt;_xlfn.NUMBERVALUE(CONCATENATE($B$2,MONTH(H$2))),VLOOKUP(Tabela6[[#This Row],[Coluna1]],Planodecontas[],3,FALSE),0), SUMIF(Lançamento!$A$2:$A$67,"="&amp;CONCATENATE(H$10,$A40),Lançamento!$D$2:$D$67))</f>
        <v>0</v>
      </c>
      <c r="I40" s="83">
        <f ca="1">IF(SUMIF(Lançamento!$A$2:$A$67,"="&amp;CONCATENATE(I$10,$A40),Lançamento!$D$2:$D$67) &lt;=0,IF(_xlfn.NUMBERVALUE(CONCATENATE(YEAR($A$10),MONTH($A$10)))&lt;_xlfn.NUMBERVALUE(CONCATENATE($B$2,MONTH(I$2))),VLOOKUP(Tabela6[[#This Row],[Coluna1]],Planodecontas[],3,FALSE),0), SUMIF(Lançamento!$A$2:$A$67,"="&amp;CONCATENATE(I$10,$A40),Lançamento!$D$2:$D$67))</f>
        <v>0</v>
      </c>
      <c r="J40" s="83">
        <f ca="1">IF(SUMIF(Lançamento!$A$2:$A$67,"="&amp;CONCATENATE(J$10,$A40),Lançamento!$D$2:$D$67) &lt;=0,IF(_xlfn.NUMBERVALUE(CONCATENATE(YEAR($A$10),MONTH($A$10)))&lt;_xlfn.NUMBERVALUE(CONCATENATE($B$2,MONTH(J$2))),VLOOKUP(Tabela6[[#This Row],[Coluna1]],Planodecontas[],3,FALSE),0), SUMIF(Lançamento!$A$2:$A$67,"="&amp;CONCATENATE(J$10,$A40),Lançamento!$D$2:$D$67))</f>
        <v>0</v>
      </c>
      <c r="K40" s="83">
        <f ca="1">IF(SUMIF(Lançamento!$A$2:$A$67,"="&amp;CONCATENATE(K$10,$A40),Lançamento!$D$2:$D$67) &lt;=0,IF(_xlfn.NUMBERVALUE(CONCATENATE(YEAR($A$10),MONTH($A$10)))&lt;_xlfn.NUMBERVALUE(CONCATENATE($B$2,MONTH(K$2))),VLOOKUP(Tabela6[[#This Row],[Coluna1]],Planodecontas[],3,FALSE),0), SUMIF(Lançamento!$A$2:$A$67,"="&amp;CONCATENATE(K$10,$A40),Lançamento!$D$2:$D$67))</f>
        <v>0</v>
      </c>
      <c r="L40" s="83">
        <f ca="1">IF(SUMIF(Lançamento!$A$2:$A$67,"="&amp;CONCATENATE(L$10,$A40),Lançamento!$D$2:$D$67) &lt;=0,IF(_xlfn.NUMBERVALUE(CONCATENATE(YEAR($A$10),MONTH($A$10)))&lt;_xlfn.NUMBERVALUE(CONCATENATE($B$2,MONTH(L$2))),VLOOKUP(Tabela6[[#This Row],[Coluna1]],Planodecontas[],3,FALSE),0), SUMIF(Lançamento!$A$2:$A$67,"="&amp;CONCATENATE(L$10,$A40),Lançamento!$D$2:$D$67))</f>
        <v>0</v>
      </c>
      <c r="M40" s="83">
        <f ca="1">IF(SUMIF(Lançamento!$A$2:$A$67,"="&amp;CONCATENATE(M$10,$A40),Lançamento!$D$2:$D$67) &lt;=0,IF(_xlfn.NUMBERVALUE(CONCATENATE(YEAR($A$10),MONTH($A$10)))&lt;_xlfn.NUMBERVALUE(CONCATENATE($B$2,MONTH(M$2))),VLOOKUP(Tabela6[[#This Row],[Coluna1]],Planodecontas[],3,FALSE),0), SUMIF(Lançamento!$A$2:$A$67,"="&amp;CONCATENATE(M$10,$A40),Lançamento!$D$2:$D$67))</f>
        <v>0</v>
      </c>
      <c r="N40" s="83">
        <f>IF(SUMIF(Lançamento!$A$2:$A$67,"="&amp;CONCATENATE(N$10,$A40),Lançamento!$D$2:$D$67) &lt;=0,IF(_xlfn.NUMBERVALUE(CONCATENATE(YEAR($A$10),MONTH($A$10)))&lt;_xlfn.NUMBERVALUE(CONCATENATE($B$2,MONTH(N$2))),VLOOKUP(Tabela6[[#This Row],[Coluna1]],Planodecontas[],3,FALSE),0), SUMIF(Lançamento!$A$2:$A$67,"="&amp;CONCATENATE(N$10,$A40),Lançamento!$D$2:$D$67))</f>
        <v>71.5</v>
      </c>
      <c r="O40" s="20">
        <f ca="1">SUM(Tabela6[[#This Row],[Coluna3]:[Coluna14]])</f>
        <v>71.5</v>
      </c>
    </row>
    <row r="41" spans="1:15" x14ac:dyDescent="0.25">
      <c r="A41" s="21" t="s">
        <v>49</v>
      </c>
      <c r="B41" s="22">
        <f>VLOOKUP(A41,Planodecontas[],3,FALSE)</f>
        <v>0</v>
      </c>
      <c r="C41" s="83">
        <f ca="1">IF(SUMIF(Lançamento!$A$2:$A$67,"="&amp;CONCATENATE(C$10,$A41),Lançamento!$D$2:$D$67) &lt;=0,IF(_xlfn.NUMBERVALUE(CONCATENATE(YEAR($A$10),MONTH($A$10)))&lt;_xlfn.NUMBERVALUE(CONCATENATE($B$2,MONTH(C$2))),VLOOKUP(Tabela6[[#This Row],[Coluna1]],Planodecontas[],3,FALSE),0), SUMIF(Lançamento!$A$2:$A$67,"="&amp;CONCATENATE(C$10,$A41),Lançamento!$D$2:$D$67))</f>
        <v>0</v>
      </c>
      <c r="D41" s="83">
        <f ca="1">IF(SUMIF(Lançamento!$A$2:$A$67,"="&amp;CONCATENATE(D$10,$A41),Lançamento!$D$2:$D$67) &lt;=0,IF(_xlfn.NUMBERVALUE(CONCATENATE(YEAR($A$10),MONTH($A$10)))&lt;_xlfn.NUMBERVALUE(CONCATENATE($B$2,MONTH(D$2))),VLOOKUP(Tabela6[[#This Row],[Coluna1]],Planodecontas[],3,FALSE),0), SUMIF(Lançamento!$A$2:$A$67,"="&amp;CONCATENATE(D$10,$A41),Lançamento!$D$2:$D$67))</f>
        <v>0</v>
      </c>
      <c r="E41" s="83">
        <f ca="1">IF(SUMIF(Lançamento!$A$2:$A$67,"="&amp;CONCATENATE(E$10,$A41),Lançamento!$D$2:$D$67) &lt;=0,IF(_xlfn.NUMBERVALUE(CONCATENATE(YEAR($A$10),MONTH($A$10)))&lt;_xlfn.NUMBERVALUE(CONCATENATE($B$2,MONTH(E$2))),VLOOKUP(Tabela6[[#This Row],[Coluna1]],Planodecontas[],3,FALSE),0), SUMIF(Lançamento!$A$2:$A$67,"="&amp;CONCATENATE(E$10,$A41),Lançamento!$D$2:$D$67))</f>
        <v>0</v>
      </c>
      <c r="F41" s="83">
        <f ca="1">IF(SUMIF(Lançamento!$A$2:$A$67,"="&amp;CONCATENATE(F$10,$A41),Lançamento!$D$2:$D$67) &lt;=0,IF(_xlfn.NUMBERVALUE(CONCATENATE(YEAR($A$10),MONTH($A$10)))&lt;_xlfn.NUMBERVALUE(CONCATENATE($B$2,MONTH(F$2))),VLOOKUP(Tabela6[[#This Row],[Coluna1]],Planodecontas[],3,FALSE),0), SUMIF(Lançamento!$A$2:$A$67,"="&amp;CONCATENATE(F$10,$A41),Lançamento!$D$2:$D$67))</f>
        <v>0</v>
      </c>
      <c r="G41" s="83">
        <f ca="1">IF(SUMIF(Lançamento!$A$2:$A$67,"="&amp;CONCATENATE(G$10,$A41),Lançamento!$D$2:$D$67) &lt;=0,IF(_xlfn.NUMBERVALUE(CONCATENATE(YEAR($A$10),MONTH($A$10)))&lt;_xlfn.NUMBERVALUE(CONCATENATE($B$2,MONTH(G$2))),VLOOKUP(Tabela6[[#This Row],[Coluna1]],Planodecontas[],3,FALSE),0), SUMIF(Lançamento!$A$2:$A$67,"="&amp;CONCATENATE(G$10,$A41),Lançamento!$D$2:$D$67))</f>
        <v>0</v>
      </c>
      <c r="H41" s="83">
        <f ca="1">IF(SUMIF(Lançamento!$A$2:$A$67,"="&amp;CONCATENATE(H$10,$A41),Lançamento!$D$2:$D$67) &lt;=0,IF(_xlfn.NUMBERVALUE(CONCATENATE(YEAR($A$10),MONTH($A$10)))&lt;_xlfn.NUMBERVALUE(CONCATENATE($B$2,MONTH(H$2))),VLOOKUP(Tabela6[[#This Row],[Coluna1]],Planodecontas[],3,FALSE),0), SUMIF(Lançamento!$A$2:$A$67,"="&amp;CONCATENATE(H$10,$A41),Lançamento!$D$2:$D$67))</f>
        <v>0</v>
      </c>
      <c r="I41" s="83">
        <f ca="1">IF(SUMIF(Lançamento!$A$2:$A$67,"="&amp;CONCATENATE(I$10,$A41),Lançamento!$D$2:$D$67) &lt;=0,IF(_xlfn.NUMBERVALUE(CONCATENATE(YEAR($A$10),MONTH($A$10)))&lt;_xlfn.NUMBERVALUE(CONCATENATE($B$2,MONTH(I$2))),VLOOKUP(Tabela6[[#This Row],[Coluna1]],Planodecontas[],3,FALSE),0), SUMIF(Lançamento!$A$2:$A$67,"="&amp;CONCATENATE(I$10,$A41),Lançamento!$D$2:$D$67))</f>
        <v>0</v>
      </c>
      <c r="J41" s="83">
        <f ca="1">IF(SUMIF(Lançamento!$A$2:$A$67,"="&amp;CONCATENATE(J$10,$A41),Lançamento!$D$2:$D$67) &lt;=0,IF(_xlfn.NUMBERVALUE(CONCATENATE(YEAR($A$10),MONTH($A$10)))&lt;_xlfn.NUMBERVALUE(CONCATENATE($B$2,MONTH(J$2))),VLOOKUP(Tabela6[[#This Row],[Coluna1]],Planodecontas[],3,FALSE),0), SUMIF(Lançamento!$A$2:$A$67,"="&amp;CONCATENATE(J$10,$A41),Lançamento!$D$2:$D$67))</f>
        <v>0</v>
      </c>
      <c r="K41" s="83">
        <f ca="1">IF(SUMIF(Lançamento!$A$2:$A$67,"="&amp;CONCATENATE(K$10,$A41),Lançamento!$D$2:$D$67) &lt;=0,IF(_xlfn.NUMBERVALUE(CONCATENATE(YEAR($A$10),MONTH($A$10)))&lt;_xlfn.NUMBERVALUE(CONCATENATE($B$2,MONTH(K$2))),VLOOKUP(Tabela6[[#This Row],[Coluna1]],Planodecontas[],3,FALSE),0), SUMIF(Lançamento!$A$2:$A$67,"="&amp;CONCATENATE(K$10,$A41),Lançamento!$D$2:$D$67))</f>
        <v>0</v>
      </c>
      <c r="L41" s="83">
        <f ca="1">IF(SUMIF(Lançamento!$A$2:$A$67,"="&amp;CONCATENATE(L$10,$A41),Lançamento!$D$2:$D$67) &lt;=0,IF(_xlfn.NUMBERVALUE(CONCATENATE(YEAR($A$10),MONTH($A$10)))&lt;_xlfn.NUMBERVALUE(CONCATENATE($B$2,MONTH(L$2))),VLOOKUP(Tabela6[[#This Row],[Coluna1]],Planodecontas[],3,FALSE),0), SUMIF(Lançamento!$A$2:$A$67,"="&amp;CONCATENATE(L$10,$A41),Lançamento!$D$2:$D$67))</f>
        <v>0</v>
      </c>
      <c r="M41" s="83">
        <f ca="1">IF(SUMIF(Lançamento!$A$2:$A$67,"="&amp;CONCATENATE(M$10,$A41),Lançamento!$D$2:$D$67) &lt;=0,IF(_xlfn.NUMBERVALUE(CONCATENATE(YEAR($A$10),MONTH($A$10)))&lt;_xlfn.NUMBERVALUE(CONCATENATE($B$2,MONTH(M$2))),VLOOKUP(Tabela6[[#This Row],[Coluna1]],Planodecontas[],3,FALSE),0), SUMIF(Lançamento!$A$2:$A$67,"="&amp;CONCATENATE(M$10,$A41),Lançamento!$D$2:$D$67))</f>
        <v>0</v>
      </c>
      <c r="N41" s="83">
        <f>IF(SUMIF(Lançamento!$A$2:$A$67,"="&amp;CONCATENATE(N$10,$A41),Lançamento!$D$2:$D$67) &lt;=0,IF(_xlfn.NUMBERVALUE(CONCATENATE(YEAR($A$10),MONTH($A$10)))&lt;_xlfn.NUMBERVALUE(CONCATENATE($B$2,MONTH(N$2))),VLOOKUP(Tabela6[[#This Row],[Coluna1]],Planodecontas[],3,FALSE),0), SUMIF(Lançamento!$A$2:$A$67,"="&amp;CONCATENATE(N$10,$A41),Lançamento!$D$2:$D$67))</f>
        <v>153.16</v>
      </c>
      <c r="O41" s="20">
        <f ca="1">SUM(Tabela6[[#This Row],[Coluna3]:[Coluna14]])</f>
        <v>153.16</v>
      </c>
    </row>
    <row r="42" spans="1:15" x14ac:dyDescent="0.25">
      <c r="A42" s="21" t="s">
        <v>50</v>
      </c>
      <c r="B42" s="22">
        <f>VLOOKUP(A42,Planodecontas[],3,FALSE)</f>
        <v>0</v>
      </c>
      <c r="C42" s="83">
        <f ca="1">IF(SUMIF(Lançamento!$A$2:$A$67,"="&amp;CONCATENATE(C$10,$A42),Lançamento!$D$2:$D$67) &lt;=0,IF(_xlfn.NUMBERVALUE(CONCATENATE(YEAR($A$10),MONTH($A$10)))&lt;_xlfn.NUMBERVALUE(CONCATENATE($B$2,MONTH(C$2))),VLOOKUP(Tabela6[[#This Row],[Coluna1]],Planodecontas[],3,FALSE),0), SUMIF(Lançamento!$A$2:$A$67,"="&amp;CONCATENATE(C$10,$A42),Lançamento!$D$2:$D$67))</f>
        <v>0</v>
      </c>
      <c r="D42" s="83">
        <f ca="1">IF(SUMIF(Lançamento!$A$2:$A$67,"="&amp;CONCATENATE(D$10,$A42),Lançamento!$D$2:$D$67) &lt;=0,IF(_xlfn.NUMBERVALUE(CONCATENATE(YEAR($A$10),MONTH($A$10)))&lt;_xlfn.NUMBERVALUE(CONCATENATE($B$2,MONTH(D$2))),VLOOKUP(Tabela6[[#This Row],[Coluna1]],Planodecontas[],3,FALSE),0), SUMIF(Lançamento!$A$2:$A$67,"="&amp;CONCATENATE(D$10,$A42),Lançamento!$D$2:$D$67))</f>
        <v>0</v>
      </c>
      <c r="E42" s="83">
        <f ca="1">IF(SUMIF(Lançamento!$A$2:$A$67,"="&amp;CONCATENATE(E$10,$A42),Lançamento!$D$2:$D$67) &lt;=0,IF(_xlfn.NUMBERVALUE(CONCATENATE(YEAR($A$10),MONTH($A$10)))&lt;_xlfn.NUMBERVALUE(CONCATENATE($B$2,MONTH(E$2))),VLOOKUP(Tabela6[[#This Row],[Coluna1]],Planodecontas[],3,FALSE),0), SUMIF(Lançamento!$A$2:$A$67,"="&amp;CONCATENATE(E$10,$A42),Lançamento!$D$2:$D$67))</f>
        <v>0</v>
      </c>
      <c r="F42" s="83">
        <f ca="1">IF(SUMIF(Lançamento!$A$2:$A$67,"="&amp;CONCATENATE(F$10,$A42),Lançamento!$D$2:$D$67) &lt;=0,IF(_xlfn.NUMBERVALUE(CONCATENATE(YEAR($A$10),MONTH($A$10)))&lt;_xlfn.NUMBERVALUE(CONCATENATE($B$2,MONTH(F$2))),VLOOKUP(Tabela6[[#This Row],[Coluna1]],Planodecontas[],3,FALSE),0), SUMIF(Lançamento!$A$2:$A$67,"="&amp;CONCATENATE(F$10,$A42),Lançamento!$D$2:$D$67))</f>
        <v>0</v>
      </c>
      <c r="G42" s="83">
        <f ca="1">IF(SUMIF(Lançamento!$A$2:$A$67,"="&amp;CONCATENATE(G$10,$A42),Lançamento!$D$2:$D$67) &lt;=0,IF(_xlfn.NUMBERVALUE(CONCATENATE(YEAR($A$10),MONTH($A$10)))&lt;_xlfn.NUMBERVALUE(CONCATENATE($B$2,MONTH(G$2))),VLOOKUP(Tabela6[[#This Row],[Coluna1]],Planodecontas[],3,FALSE),0), SUMIF(Lançamento!$A$2:$A$67,"="&amp;CONCATENATE(G$10,$A42),Lançamento!$D$2:$D$67))</f>
        <v>0</v>
      </c>
      <c r="H42" s="83">
        <f ca="1">IF(SUMIF(Lançamento!$A$2:$A$67,"="&amp;CONCATENATE(H$10,$A42),Lançamento!$D$2:$D$67) &lt;=0,IF(_xlfn.NUMBERVALUE(CONCATENATE(YEAR($A$10),MONTH($A$10)))&lt;_xlfn.NUMBERVALUE(CONCATENATE($B$2,MONTH(H$2))),VLOOKUP(Tabela6[[#This Row],[Coluna1]],Planodecontas[],3,FALSE),0), SUMIF(Lançamento!$A$2:$A$67,"="&amp;CONCATENATE(H$10,$A42),Lançamento!$D$2:$D$67))</f>
        <v>0</v>
      </c>
      <c r="I42" s="83">
        <f ca="1">IF(SUMIF(Lançamento!$A$2:$A$67,"="&amp;CONCATENATE(I$10,$A42),Lançamento!$D$2:$D$67) &lt;=0,IF(_xlfn.NUMBERVALUE(CONCATENATE(YEAR($A$10),MONTH($A$10)))&lt;_xlfn.NUMBERVALUE(CONCATENATE($B$2,MONTH(I$2))),VLOOKUP(Tabela6[[#This Row],[Coluna1]],Planodecontas[],3,FALSE),0), SUMIF(Lançamento!$A$2:$A$67,"="&amp;CONCATENATE(I$10,$A42),Lançamento!$D$2:$D$67))</f>
        <v>0</v>
      </c>
      <c r="J42" s="83">
        <f ca="1">IF(SUMIF(Lançamento!$A$2:$A$67,"="&amp;CONCATENATE(J$10,$A42),Lançamento!$D$2:$D$67) &lt;=0,IF(_xlfn.NUMBERVALUE(CONCATENATE(YEAR($A$10),MONTH($A$10)))&lt;_xlfn.NUMBERVALUE(CONCATENATE($B$2,MONTH(J$2))),VLOOKUP(Tabela6[[#This Row],[Coluna1]],Planodecontas[],3,FALSE),0), SUMIF(Lançamento!$A$2:$A$67,"="&amp;CONCATENATE(J$10,$A42),Lançamento!$D$2:$D$67))</f>
        <v>0</v>
      </c>
      <c r="K42" s="83">
        <f ca="1">IF(SUMIF(Lançamento!$A$2:$A$67,"="&amp;CONCATENATE(K$10,$A42),Lançamento!$D$2:$D$67) &lt;=0,IF(_xlfn.NUMBERVALUE(CONCATENATE(YEAR($A$10),MONTH($A$10)))&lt;_xlfn.NUMBERVALUE(CONCATENATE($B$2,MONTH(K$2))),VLOOKUP(Tabela6[[#This Row],[Coluna1]],Planodecontas[],3,FALSE),0), SUMIF(Lançamento!$A$2:$A$67,"="&amp;CONCATENATE(K$10,$A42),Lançamento!$D$2:$D$67))</f>
        <v>0</v>
      </c>
      <c r="L42" s="83">
        <f ca="1">IF(SUMIF(Lançamento!$A$2:$A$67,"="&amp;CONCATENATE(L$10,$A42),Lançamento!$D$2:$D$67) &lt;=0,IF(_xlfn.NUMBERVALUE(CONCATENATE(YEAR($A$10),MONTH($A$10)))&lt;_xlfn.NUMBERVALUE(CONCATENATE($B$2,MONTH(L$2))),VLOOKUP(Tabela6[[#This Row],[Coluna1]],Planodecontas[],3,FALSE),0), SUMIF(Lançamento!$A$2:$A$67,"="&amp;CONCATENATE(L$10,$A42),Lançamento!$D$2:$D$67))</f>
        <v>0</v>
      </c>
      <c r="M42" s="83">
        <f ca="1">IF(SUMIF(Lançamento!$A$2:$A$67,"="&amp;CONCATENATE(M$10,$A42),Lançamento!$D$2:$D$67) &lt;=0,IF(_xlfn.NUMBERVALUE(CONCATENATE(YEAR($A$10),MONTH($A$10)))&lt;_xlfn.NUMBERVALUE(CONCATENATE($B$2,MONTH(M$2))),VLOOKUP(Tabela6[[#This Row],[Coluna1]],Planodecontas[],3,FALSE),0), SUMIF(Lançamento!$A$2:$A$67,"="&amp;CONCATENATE(M$10,$A42),Lançamento!$D$2:$D$67))</f>
        <v>0</v>
      </c>
      <c r="N42" s="83">
        <f>IF(SUMIF(Lançamento!$A$2:$A$67,"="&amp;CONCATENATE(N$10,$A42),Lançamento!$D$2:$D$67) &lt;=0,IF(_xlfn.NUMBERVALUE(CONCATENATE(YEAR($A$10),MONTH($A$10)))&lt;_xlfn.NUMBERVALUE(CONCATENATE($B$2,MONTH(N$2))),VLOOKUP(Tabela6[[#This Row],[Coluna1]],Planodecontas[],3,FALSE),0), SUMIF(Lançamento!$A$2:$A$67,"="&amp;CONCATENATE(N$10,$A42),Lançamento!$D$2:$D$67))</f>
        <v>106.96</v>
      </c>
      <c r="O42" s="20">
        <f ca="1">SUM(Tabela6[[#This Row],[Coluna3]:[Coluna14]])</f>
        <v>106.96</v>
      </c>
    </row>
    <row r="43" spans="1:15" x14ac:dyDescent="0.25">
      <c r="A43" s="21" t="s">
        <v>74</v>
      </c>
      <c r="B43" s="22">
        <f>VLOOKUP(A43,Planodecontas[],3,FALSE)</f>
        <v>0</v>
      </c>
      <c r="C43" s="83">
        <f ca="1">IF(SUMIF(Lançamento!$A$2:$A$67,"="&amp;CONCATENATE(C$10,$A43),Lançamento!$D$2:$D$67) &lt;=0,IF(_xlfn.NUMBERVALUE(CONCATENATE(YEAR($A$10),MONTH($A$10)))&lt;_xlfn.NUMBERVALUE(CONCATENATE($B$2,MONTH(C$2))),VLOOKUP(Tabela6[[#This Row],[Coluna1]],Planodecontas[],3,FALSE),0), SUMIF(Lançamento!$A$2:$A$67,"="&amp;CONCATENATE(C$10,$A43),Lançamento!$D$2:$D$67))</f>
        <v>0</v>
      </c>
      <c r="D43" s="83">
        <f ca="1">IF(SUMIF(Lançamento!$A$2:$A$67,"="&amp;CONCATENATE(D$10,$A43),Lançamento!$D$2:$D$67) &lt;=0,IF(_xlfn.NUMBERVALUE(CONCATENATE(YEAR($A$10),MONTH($A$10)))&lt;_xlfn.NUMBERVALUE(CONCATENATE($B$2,MONTH(D$2))),VLOOKUP(Tabela6[[#This Row],[Coluna1]],Planodecontas[],3,FALSE),0), SUMIF(Lançamento!$A$2:$A$67,"="&amp;CONCATENATE(D$10,$A43),Lançamento!$D$2:$D$67))</f>
        <v>0</v>
      </c>
      <c r="E43" s="83">
        <f ca="1">IF(SUMIF(Lançamento!$A$2:$A$67,"="&amp;CONCATENATE(E$10,$A43),Lançamento!$D$2:$D$67) &lt;=0,IF(_xlfn.NUMBERVALUE(CONCATENATE(YEAR($A$10),MONTH($A$10)))&lt;_xlfn.NUMBERVALUE(CONCATENATE($B$2,MONTH(E$2))),VLOOKUP(Tabela6[[#This Row],[Coluna1]],Planodecontas[],3,FALSE),0), SUMIF(Lançamento!$A$2:$A$67,"="&amp;CONCATENATE(E$10,$A43),Lançamento!$D$2:$D$67))</f>
        <v>0</v>
      </c>
      <c r="F43" s="83">
        <f ca="1">IF(SUMIF(Lançamento!$A$2:$A$67,"="&amp;CONCATENATE(F$10,$A43),Lançamento!$D$2:$D$67) &lt;=0,IF(_xlfn.NUMBERVALUE(CONCATENATE(YEAR($A$10),MONTH($A$10)))&lt;_xlfn.NUMBERVALUE(CONCATENATE($B$2,MONTH(F$2))),VLOOKUP(Tabela6[[#This Row],[Coluna1]],Planodecontas[],3,FALSE),0), SUMIF(Lançamento!$A$2:$A$67,"="&amp;CONCATENATE(F$10,$A43),Lançamento!$D$2:$D$67))</f>
        <v>0</v>
      </c>
      <c r="G43" s="83">
        <f ca="1">IF(SUMIF(Lançamento!$A$2:$A$67,"="&amp;CONCATENATE(G$10,$A43),Lançamento!$D$2:$D$67) &lt;=0,IF(_xlfn.NUMBERVALUE(CONCATENATE(YEAR($A$10),MONTH($A$10)))&lt;_xlfn.NUMBERVALUE(CONCATENATE($B$2,MONTH(G$2))),VLOOKUP(Tabela6[[#This Row],[Coluna1]],Planodecontas[],3,FALSE),0), SUMIF(Lançamento!$A$2:$A$67,"="&amp;CONCATENATE(G$10,$A43),Lançamento!$D$2:$D$67))</f>
        <v>0</v>
      </c>
      <c r="H43" s="83">
        <f ca="1">IF(SUMIF(Lançamento!$A$2:$A$67,"="&amp;CONCATENATE(H$10,$A43),Lançamento!$D$2:$D$67) &lt;=0,IF(_xlfn.NUMBERVALUE(CONCATENATE(YEAR($A$10),MONTH($A$10)))&lt;_xlfn.NUMBERVALUE(CONCATENATE($B$2,MONTH(H$2))),VLOOKUP(Tabela6[[#This Row],[Coluna1]],Planodecontas[],3,FALSE),0), SUMIF(Lançamento!$A$2:$A$67,"="&amp;CONCATENATE(H$10,$A43),Lançamento!$D$2:$D$67))</f>
        <v>0</v>
      </c>
      <c r="I43" s="83">
        <f ca="1">IF(SUMIF(Lançamento!$A$2:$A$67,"="&amp;CONCATENATE(I$10,$A43),Lançamento!$D$2:$D$67) &lt;=0,IF(_xlfn.NUMBERVALUE(CONCATENATE(YEAR($A$10),MONTH($A$10)))&lt;_xlfn.NUMBERVALUE(CONCATENATE($B$2,MONTH(I$2))),VLOOKUP(Tabela6[[#This Row],[Coluna1]],Planodecontas[],3,FALSE),0), SUMIF(Lançamento!$A$2:$A$67,"="&amp;CONCATENATE(I$10,$A43),Lançamento!$D$2:$D$67))</f>
        <v>0</v>
      </c>
      <c r="J43" s="83">
        <f ca="1">IF(SUMIF(Lançamento!$A$2:$A$67,"="&amp;CONCATENATE(J$10,$A43),Lançamento!$D$2:$D$67) &lt;=0,IF(_xlfn.NUMBERVALUE(CONCATENATE(YEAR($A$10),MONTH($A$10)))&lt;_xlfn.NUMBERVALUE(CONCATENATE($B$2,MONTH(J$2))),VLOOKUP(Tabela6[[#This Row],[Coluna1]],Planodecontas[],3,FALSE),0), SUMIF(Lançamento!$A$2:$A$67,"="&amp;CONCATENATE(J$10,$A43),Lançamento!$D$2:$D$67))</f>
        <v>0</v>
      </c>
      <c r="K43" s="83">
        <f ca="1">IF(SUMIF(Lançamento!$A$2:$A$67,"="&amp;CONCATENATE(K$10,$A43),Lançamento!$D$2:$D$67) &lt;=0,IF(_xlfn.NUMBERVALUE(CONCATENATE(YEAR($A$10),MONTH($A$10)))&lt;_xlfn.NUMBERVALUE(CONCATENATE($B$2,MONTH(K$2))),VLOOKUP(Tabela6[[#This Row],[Coluna1]],Planodecontas[],3,FALSE),0), SUMIF(Lançamento!$A$2:$A$67,"="&amp;CONCATENATE(K$10,$A43),Lançamento!$D$2:$D$67))</f>
        <v>0</v>
      </c>
      <c r="L43" s="83">
        <f ca="1">IF(SUMIF(Lançamento!$A$2:$A$67,"="&amp;CONCATENATE(L$10,$A43),Lançamento!$D$2:$D$67) &lt;=0,IF(_xlfn.NUMBERVALUE(CONCATENATE(YEAR($A$10),MONTH($A$10)))&lt;_xlfn.NUMBERVALUE(CONCATENATE($B$2,MONTH(L$2))),VLOOKUP(Tabela6[[#This Row],[Coluna1]],Planodecontas[],3,FALSE),0), SUMIF(Lançamento!$A$2:$A$67,"="&amp;CONCATENATE(L$10,$A43),Lançamento!$D$2:$D$67))</f>
        <v>0</v>
      </c>
      <c r="M43" s="83">
        <f ca="1">IF(SUMIF(Lançamento!$A$2:$A$67,"="&amp;CONCATENATE(M$10,$A43),Lançamento!$D$2:$D$67) &lt;=0,IF(_xlfn.NUMBERVALUE(CONCATENATE(YEAR($A$10),MONTH($A$10)))&lt;_xlfn.NUMBERVALUE(CONCATENATE($B$2,MONTH(M$2))),VLOOKUP(Tabela6[[#This Row],[Coluna1]],Planodecontas[],3,FALSE),0), SUMIF(Lançamento!$A$2:$A$67,"="&amp;CONCATENATE(M$10,$A43),Lançamento!$D$2:$D$67))</f>
        <v>0</v>
      </c>
      <c r="N43" s="83">
        <f>IF(SUMIF(Lançamento!$A$2:$A$67,"="&amp;CONCATENATE(N$10,$A43),Lançamento!$D$2:$D$67) &lt;=0,IF(_xlfn.NUMBERVALUE(CONCATENATE(YEAR($A$10),MONTH($A$10)))&lt;_xlfn.NUMBERVALUE(CONCATENATE($B$2,MONTH(N$2))),VLOOKUP(Tabela6[[#This Row],[Coluna1]],Planodecontas[],3,FALSE),0), SUMIF(Lançamento!$A$2:$A$67,"="&amp;CONCATENATE(N$10,$A43),Lançamento!$D$2:$D$67))</f>
        <v>167</v>
      </c>
      <c r="O43" s="20">
        <f ca="1">SUM(Tabela6[[#This Row],[Coluna3]:[Coluna14]])</f>
        <v>167</v>
      </c>
    </row>
    <row r="44" spans="1:15" x14ac:dyDescent="0.25">
      <c r="A44" s="21" t="s">
        <v>70</v>
      </c>
      <c r="B44" s="22">
        <f>VLOOKUP(A44,Planodecontas[],3,FALSE)</f>
        <v>0</v>
      </c>
      <c r="C44" s="83">
        <f ca="1">IF(SUMIF(Lançamento!$A$2:$A$67,"="&amp;CONCATENATE(C$10,$A44),Lançamento!$D$2:$D$67) &lt;=0,IF(_xlfn.NUMBERVALUE(CONCATENATE(YEAR($A$10),MONTH($A$10)))&lt;_xlfn.NUMBERVALUE(CONCATENATE($B$2,MONTH(C$2))),VLOOKUP(Tabela6[[#This Row],[Coluna1]],Planodecontas[],3,FALSE),0), SUMIF(Lançamento!$A$2:$A$67,"="&amp;CONCATENATE(C$10,$A44),Lançamento!$D$2:$D$67))</f>
        <v>0</v>
      </c>
      <c r="D44" s="83">
        <f ca="1">IF(SUMIF(Lançamento!$A$2:$A$67,"="&amp;CONCATENATE(D$10,$A44),Lançamento!$D$2:$D$67) &lt;=0,IF(_xlfn.NUMBERVALUE(CONCATENATE(YEAR($A$10),MONTH($A$10)))&lt;_xlfn.NUMBERVALUE(CONCATENATE($B$2,MONTH(D$2))),VLOOKUP(Tabela6[[#This Row],[Coluna1]],Planodecontas[],3,FALSE),0), SUMIF(Lançamento!$A$2:$A$67,"="&amp;CONCATENATE(D$10,$A44),Lançamento!$D$2:$D$67))</f>
        <v>0</v>
      </c>
      <c r="E44" s="83">
        <f ca="1">IF(SUMIF(Lançamento!$A$2:$A$67,"="&amp;CONCATENATE(E$10,$A44),Lançamento!$D$2:$D$67) &lt;=0,IF(_xlfn.NUMBERVALUE(CONCATENATE(YEAR($A$10),MONTH($A$10)))&lt;_xlfn.NUMBERVALUE(CONCATENATE($B$2,MONTH(E$2))),VLOOKUP(Tabela6[[#This Row],[Coluna1]],Planodecontas[],3,FALSE),0), SUMIF(Lançamento!$A$2:$A$67,"="&amp;CONCATENATE(E$10,$A44),Lançamento!$D$2:$D$67))</f>
        <v>0</v>
      </c>
      <c r="F44" s="83">
        <f ca="1">IF(SUMIF(Lançamento!$A$2:$A$67,"="&amp;CONCATENATE(F$10,$A44),Lançamento!$D$2:$D$67) &lt;=0,IF(_xlfn.NUMBERVALUE(CONCATENATE(YEAR($A$10),MONTH($A$10)))&lt;_xlfn.NUMBERVALUE(CONCATENATE($B$2,MONTH(F$2))),VLOOKUP(Tabela6[[#This Row],[Coluna1]],Planodecontas[],3,FALSE),0), SUMIF(Lançamento!$A$2:$A$67,"="&amp;CONCATENATE(F$10,$A44),Lançamento!$D$2:$D$67))</f>
        <v>0</v>
      </c>
      <c r="G44" s="83">
        <f ca="1">IF(SUMIF(Lançamento!$A$2:$A$67,"="&amp;CONCATENATE(G$10,$A44),Lançamento!$D$2:$D$67) &lt;=0,IF(_xlfn.NUMBERVALUE(CONCATENATE(YEAR($A$10),MONTH($A$10)))&lt;_xlfn.NUMBERVALUE(CONCATENATE($B$2,MONTH(G$2))),VLOOKUP(Tabela6[[#This Row],[Coluna1]],Planodecontas[],3,FALSE),0), SUMIF(Lançamento!$A$2:$A$67,"="&amp;CONCATENATE(G$10,$A44),Lançamento!$D$2:$D$67))</f>
        <v>0</v>
      </c>
      <c r="H44" s="83">
        <f ca="1">IF(SUMIF(Lançamento!$A$2:$A$67,"="&amp;CONCATENATE(H$10,$A44),Lançamento!$D$2:$D$67) &lt;=0,IF(_xlfn.NUMBERVALUE(CONCATENATE(YEAR($A$10),MONTH($A$10)))&lt;_xlfn.NUMBERVALUE(CONCATENATE($B$2,MONTH(H$2))),VLOOKUP(Tabela6[[#This Row],[Coluna1]],Planodecontas[],3,FALSE),0), SUMIF(Lançamento!$A$2:$A$67,"="&amp;CONCATENATE(H$10,$A44),Lançamento!$D$2:$D$67))</f>
        <v>0</v>
      </c>
      <c r="I44" s="83">
        <f ca="1">IF(SUMIF(Lançamento!$A$2:$A$67,"="&amp;CONCATENATE(I$10,$A44),Lançamento!$D$2:$D$67) &lt;=0,IF(_xlfn.NUMBERVALUE(CONCATENATE(YEAR($A$10),MONTH($A$10)))&lt;_xlfn.NUMBERVALUE(CONCATENATE($B$2,MONTH(I$2))),VLOOKUP(Tabela6[[#This Row],[Coluna1]],Planodecontas[],3,FALSE),0), SUMIF(Lançamento!$A$2:$A$67,"="&amp;CONCATENATE(I$10,$A44),Lançamento!$D$2:$D$67))</f>
        <v>0</v>
      </c>
      <c r="J44" s="83">
        <f ca="1">IF(SUMIF(Lançamento!$A$2:$A$67,"="&amp;CONCATENATE(J$10,$A44),Lançamento!$D$2:$D$67) &lt;=0,IF(_xlfn.NUMBERVALUE(CONCATENATE(YEAR($A$10),MONTH($A$10)))&lt;_xlfn.NUMBERVALUE(CONCATENATE($B$2,MONTH(J$2))),VLOOKUP(Tabela6[[#This Row],[Coluna1]],Planodecontas[],3,FALSE),0), SUMIF(Lançamento!$A$2:$A$67,"="&amp;CONCATENATE(J$10,$A44),Lançamento!$D$2:$D$67))</f>
        <v>0</v>
      </c>
      <c r="K44" s="83">
        <f ca="1">IF(SUMIF(Lançamento!$A$2:$A$67,"="&amp;CONCATENATE(K$10,$A44),Lançamento!$D$2:$D$67) &lt;=0,IF(_xlfn.NUMBERVALUE(CONCATENATE(YEAR($A$10),MONTH($A$10)))&lt;_xlfn.NUMBERVALUE(CONCATENATE($B$2,MONTH(K$2))),VLOOKUP(Tabela6[[#This Row],[Coluna1]],Planodecontas[],3,FALSE),0), SUMIF(Lançamento!$A$2:$A$67,"="&amp;CONCATENATE(K$10,$A44),Lançamento!$D$2:$D$67))</f>
        <v>0</v>
      </c>
      <c r="L44" s="83">
        <f ca="1">IF(SUMIF(Lançamento!$A$2:$A$67,"="&amp;CONCATENATE(L$10,$A44),Lançamento!$D$2:$D$67) &lt;=0,IF(_xlfn.NUMBERVALUE(CONCATENATE(YEAR($A$10),MONTH($A$10)))&lt;_xlfn.NUMBERVALUE(CONCATENATE($B$2,MONTH(L$2))),VLOOKUP(Tabela6[[#This Row],[Coluna1]],Planodecontas[],3,FALSE),0), SUMIF(Lançamento!$A$2:$A$67,"="&amp;CONCATENATE(L$10,$A44),Lançamento!$D$2:$D$67))</f>
        <v>0</v>
      </c>
      <c r="M44" s="83">
        <f ca="1">IF(SUMIF(Lançamento!$A$2:$A$67,"="&amp;CONCATENATE(M$10,$A44),Lançamento!$D$2:$D$67) &lt;=0,IF(_xlfn.NUMBERVALUE(CONCATENATE(YEAR($A$10),MONTH($A$10)))&lt;_xlfn.NUMBERVALUE(CONCATENATE($B$2,MONTH(M$2))),VLOOKUP(Tabela6[[#This Row],[Coluna1]],Planodecontas[],3,FALSE),0), SUMIF(Lançamento!$A$2:$A$67,"="&amp;CONCATENATE(M$10,$A44),Lançamento!$D$2:$D$67))</f>
        <v>0</v>
      </c>
      <c r="N44" s="83">
        <f>IF(SUMIF(Lançamento!$A$2:$A$67,"="&amp;CONCATENATE(N$10,$A44),Lançamento!$D$2:$D$67) &lt;=0,IF(_xlfn.NUMBERVALUE(CONCATENATE(YEAR($A$10),MONTH($A$10)))&lt;_xlfn.NUMBERVALUE(CONCATENATE($B$2,MONTH(N$2))),VLOOKUP(Tabela6[[#This Row],[Coluna1]],Planodecontas[],3,FALSE),0), SUMIF(Lançamento!$A$2:$A$67,"="&amp;CONCATENATE(N$10,$A44),Lançamento!$D$2:$D$67))</f>
        <v>99.99</v>
      </c>
      <c r="O44" s="20">
        <f ca="1">SUM(Tabela6[[#This Row],[Coluna3]:[Coluna14]])</f>
        <v>99.99</v>
      </c>
    </row>
    <row r="45" spans="1:15" x14ac:dyDescent="0.25">
      <c r="A45" s="21" t="s">
        <v>101</v>
      </c>
      <c r="B45" s="22">
        <f>VLOOKUP(A45,Planodecontas[],3,FALSE)</f>
        <v>450</v>
      </c>
      <c r="C45" s="83">
        <f ca="1">IF(SUMIF(Lançamento!$A$2:$A$67,"="&amp;CONCATENATE(C$10,$A45),Lançamento!$D$2:$D$67) &lt;=0,IF(_xlfn.NUMBERVALUE(CONCATENATE(YEAR($A$10),MONTH($A$10)))&lt;_xlfn.NUMBERVALUE(CONCATENATE($B$2,MONTH(C$2))),VLOOKUP(Tabela6[[#This Row],[Coluna1]],Planodecontas[],3,FALSE),0), SUMIF(Lançamento!$A$2:$A$67,"="&amp;CONCATENATE(C$10,$A45),Lançamento!$D$2:$D$67))</f>
        <v>0</v>
      </c>
      <c r="D45" s="83">
        <f ca="1">IF(SUMIF(Lançamento!$A$2:$A$67,"="&amp;CONCATENATE(D$10,$A45),Lançamento!$D$2:$D$67) &lt;=0,IF(_xlfn.NUMBERVALUE(CONCATENATE(YEAR($A$10),MONTH($A$10)))&lt;_xlfn.NUMBERVALUE(CONCATENATE($B$2,MONTH(D$2))),VLOOKUP(Tabela6[[#This Row],[Coluna1]],Planodecontas[],3,FALSE),0), SUMIF(Lançamento!$A$2:$A$67,"="&amp;CONCATENATE(D$10,$A45),Lançamento!$D$2:$D$67))</f>
        <v>0</v>
      </c>
      <c r="E45" s="83">
        <f ca="1">IF(SUMIF(Lançamento!$A$2:$A$67,"="&amp;CONCATENATE(E$10,$A45),Lançamento!$D$2:$D$67) &lt;=0,IF(_xlfn.NUMBERVALUE(CONCATENATE(YEAR($A$10),MONTH($A$10)))&lt;_xlfn.NUMBERVALUE(CONCATENATE($B$2,MONTH(E$2))),VLOOKUP(Tabela6[[#This Row],[Coluna1]],Planodecontas[],3,FALSE),0), SUMIF(Lançamento!$A$2:$A$67,"="&amp;CONCATENATE(E$10,$A45),Lançamento!$D$2:$D$67))</f>
        <v>0</v>
      </c>
      <c r="F45" s="83">
        <f ca="1">IF(SUMIF(Lançamento!$A$2:$A$67,"="&amp;CONCATENATE(F$10,$A45),Lançamento!$D$2:$D$67) &lt;=0,IF(_xlfn.NUMBERVALUE(CONCATENATE(YEAR($A$10),MONTH($A$10)))&lt;_xlfn.NUMBERVALUE(CONCATENATE($B$2,MONTH(F$2))),VLOOKUP(Tabela6[[#This Row],[Coluna1]],Planodecontas[],3,FALSE),0), SUMIF(Lançamento!$A$2:$A$67,"="&amp;CONCATENATE(F$10,$A45),Lançamento!$D$2:$D$67))</f>
        <v>0</v>
      </c>
      <c r="G45" s="83">
        <f ca="1">IF(SUMIF(Lançamento!$A$2:$A$67,"="&amp;CONCATENATE(G$10,$A45),Lançamento!$D$2:$D$67) &lt;=0,IF(_xlfn.NUMBERVALUE(CONCATENATE(YEAR($A$10),MONTH($A$10)))&lt;_xlfn.NUMBERVALUE(CONCATENATE($B$2,MONTH(G$2))),VLOOKUP(Tabela6[[#This Row],[Coluna1]],Planodecontas[],3,FALSE),0), SUMIF(Lançamento!$A$2:$A$67,"="&amp;CONCATENATE(G$10,$A45),Lançamento!$D$2:$D$67))</f>
        <v>450</v>
      </c>
      <c r="H45" s="83">
        <f ca="1">IF(SUMIF(Lançamento!$A$2:$A$67,"="&amp;CONCATENATE(H$10,$A45),Lançamento!$D$2:$D$67) &lt;=0,IF(_xlfn.NUMBERVALUE(CONCATENATE(YEAR($A$10),MONTH($A$10)))&lt;_xlfn.NUMBERVALUE(CONCATENATE($B$2,MONTH(H$2))),VLOOKUP(Tabela6[[#This Row],[Coluna1]],Planodecontas[],3,FALSE),0), SUMIF(Lançamento!$A$2:$A$67,"="&amp;CONCATENATE(H$10,$A45),Lançamento!$D$2:$D$67))</f>
        <v>450</v>
      </c>
      <c r="I45" s="83">
        <f ca="1">IF(SUMIF(Lançamento!$A$2:$A$67,"="&amp;CONCATENATE(I$10,$A45),Lançamento!$D$2:$D$67) &lt;=0,IF(_xlfn.NUMBERVALUE(CONCATENATE(YEAR($A$10),MONTH($A$10)))&lt;_xlfn.NUMBERVALUE(CONCATENATE($B$2,MONTH(I$2))),VLOOKUP(Tabela6[[#This Row],[Coluna1]],Planodecontas[],3,FALSE),0), SUMIF(Lançamento!$A$2:$A$67,"="&amp;CONCATENATE(I$10,$A45),Lançamento!$D$2:$D$67))</f>
        <v>450</v>
      </c>
      <c r="J45" s="83">
        <f ca="1">IF(SUMIF(Lançamento!$A$2:$A$67,"="&amp;CONCATENATE(J$10,$A45),Lançamento!$D$2:$D$67) &lt;=0,IF(_xlfn.NUMBERVALUE(CONCATENATE(YEAR($A$10),MONTH($A$10)))&lt;_xlfn.NUMBERVALUE(CONCATENATE($B$2,MONTH(J$2))),VLOOKUP(Tabela6[[#This Row],[Coluna1]],Planodecontas[],3,FALSE),0), SUMIF(Lançamento!$A$2:$A$67,"="&amp;CONCATENATE(J$10,$A45),Lançamento!$D$2:$D$67))</f>
        <v>450</v>
      </c>
      <c r="K45" s="83">
        <f ca="1">IF(SUMIF(Lançamento!$A$2:$A$67,"="&amp;CONCATENATE(K$10,$A45),Lançamento!$D$2:$D$67) &lt;=0,IF(_xlfn.NUMBERVALUE(CONCATENATE(YEAR($A$10),MONTH($A$10)))&lt;_xlfn.NUMBERVALUE(CONCATENATE($B$2,MONTH(K$2))),VLOOKUP(Tabela6[[#This Row],[Coluna1]],Planodecontas[],3,FALSE),0), SUMIF(Lançamento!$A$2:$A$67,"="&amp;CONCATENATE(K$10,$A45),Lançamento!$D$2:$D$67))</f>
        <v>450</v>
      </c>
      <c r="L45" s="83">
        <f ca="1">IF(SUMIF(Lançamento!$A$2:$A$67,"="&amp;CONCATENATE(L$10,$A45),Lançamento!$D$2:$D$67) &lt;=0,IF(_xlfn.NUMBERVALUE(CONCATENATE(YEAR($A$10),MONTH($A$10)))&lt;_xlfn.NUMBERVALUE(CONCATENATE($B$2,MONTH(L$2))),VLOOKUP(Tabela6[[#This Row],[Coluna1]],Planodecontas[],3,FALSE),0), SUMIF(Lançamento!$A$2:$A$67,"="&amp;CONCATENATE(L$10,$A45),Lançamento!$D$2:$D$67))</f>
        <v>450</v>
      </c>
      <c r="M45" s="83">
        <f ca="1">IF(SUMIF(Lançamento!$A$2:$A$67,"="&amp;CONCATENATE(M$10,$A45),Lançamento!$D$2:$D$67) &lt;=0,IF(_xlfn.NUMBERVALUE(CONCATENATE(YEAR($A$10),MONTH($A$10)))&lt;_xlfn.NUMBERVALUE(CONCATENATE($B$2,MONTH(M$2))),VLOOKUP(Tabela6[[#This Row],[Coluna1]],Planodecontas[],3,FALSE),0), SUMIF(Lançamento!$A$2:$A$67,"="&amp;CONCATENATE(M$10,$A45),Lançamento!$D$2:$D$67))</f>
        <v>450</v>
      </c>
      <c r="N45" s="83">
        <f>IF(SUMIF(Lançamento!$A$2:$A$67,"="&amp;CONCATENATE(N$10,$A45),Lançamento!$D$2:$D$67) &lt;=0,IF(_xlfn.NUMBERVALUE(CONCATENATE(YEAR($A$10),MONTH($A$10)))&lt;_xlfn.NUMBERVALUE(CONCATENATE($B$2,MONTH(N$2))),VLOOKUP(Tabela6[[#This Row],[Coluna1]],Planodecontas[],3,FALSE),0), SUMIF(Lançamento!$A$2:$A$67,"="&amp;CONCATENATE(N$10,$A45),Lançamento!$D$2:$D$67))</f>
        <v>54.22</v>
      </c>
      <c r="O45" s="20">
        <f ca="1">SUM(Tabela6[[#This Row],[Coluna3]:[Coluna14]])</f>
        <v>3204.22</v>
      </c>
    </row>
    <row r="46" spans="1:15" x14ac:dyDescent="0.25">
      <c r="A46" s="21" t="s">
        <v>102</v>
      </c>
      <c r="B46" s="22">
        <f>VLOOKUP(A46,Planodecontas[],3,FALSE)</f>
        <v>400</v>
      </c>
      <c r="C46" s="83">
        <f ca="1">IF(SUMIF(Lançamento!$A$2:$A$67,"="&amp;CONCATENATE(C$10,$A46),Lançamento!$D$2:$D$67) &lt;=0,IF(_xlfn.NUMBERVALUE(CONCATENATE(YEAR($A$10),MONTH($A$10)))&lt;_xlfn.NUMBERVALUE(CONCATENATE($B$2,MONTH(C$2))),VLOOKUP(Tabela6[[#This Row],[Coluna1]],Planodecontas[],3,FALSE),0), SUMIF(Lançamento!$A$2:$A$67,"="&amp;CONCATENATE(C$10,$A46),Lançamento!$D$2:$D$67))</f>
        <v>0</v>
      </c>
      <c r="D46" s="83">
        <f ca="1">IF(SUMIF(Lançamento!$A$2:$A$67,"="&amp;CONCATENATE(D$10,$A46),Lançamento!$D$2:$D$67) &lt;=0,IF(_xlfn.NUMBERVALUE(CONCATENATE(YEAR($A$10),MONTH($A$10)))&lt;_xlfn.NUMBERVALUE(CONCATENATE($B$2,MONTH(D$2))),VLOOKUP(Tabela6[[#This Row],[Coluna1]],Planodecontas[],3,FALSE),0), SUMIF(Lançamento!$A$2:$A$67,"="&amp;CONCATENATE(D$10,$A46),Lançamento!$D$2:$D$67))</f>
        <v>0</v>
      </c>
      <c r="E46" s="83">
        <f ca="1">IF(SUMIF(Lançamento!$A$2:$A$67,"="&amp;CONCATENATE(E$10,$A46),Lançamento!$D$2:$D$67) &lt;=0,IF(_xlfn.NUMBERVALUE(CONCATENATE(YEAR($A$10),MONTH($A$10)))&lt;_xlfn.NUMBERVALUE(CONCATENATE($B$2,MONTH(E$2))),VLOOKUP(Tabela6[[#This Row],[Coluna1]],Planodecontas[],3,FALSE),0), SUMIF(Lançamento!$A$2:$A$67,"="&amp;CONCATENATE(E$10,$A46),Lançamento!$D$2:$D$67))</f>
        <v>0</v>
      </c>
      <c r="F46" s="83">
        <f ca="1">IF(SUMIF(Lançamento!$A$2:$A$67,"="&amp;CONCATENATE(F$10,$A46),Lançamento!$D$2:$D$67) &lt;=0,IF(_xlfn.NUMBERVALUE(CONCATENATE(YEAR($A$10),MONTH($A$10)))&lt;_xlfn.NUMBERVALUE(CONCATENATE($B$2,MONTH(F$2))),VLOOKUP(Tabela6[[#This Row],[Coluna1]],Planodecontas[],3,FALSE),0), SUMIF(Lançamento!$A$2:$A$67,"="&amp;CONCATENATE(F$10,$A46),Lançamento!$D$2:$D$67))</f>
        <v>0</v>
      </c>
      <c r="G46" s="83">
        <f ca="1">IF(SUMIF(Lançamento!$A$2:$A$67,"="&amp;CONCATENATE(G$10,$A46),Lançamento!$D$2:$D$67) &lt;=0,IF(_xlfn.NUMBERVALUE(CONCATENATE(YEAR($A$10),MONTH($A$10)))&lt;_xlfn.NUMBERVALUE(CONCATENATE($B$2,MONTH(G$2))),VLOOKUP(Tabela6[[#This Row],[Coluna1]],Planodecontas[],3,FALSE),0), SUMIF(Lançamento!$A$2:$A$67,"="&amp;CONCATENATE(G$10,$A46),Lançamento!$D$2:$D$67))</f>
        <v>400</v>
      </c>
      <c r="H46" s="83">
        <f ca="1">IF(SUMIF(Lançamento!$A$2:$A$67,"="&amp;CONCATENATE(H$10,$A46),Lançamento!$D$2:$D$67) &lt;=0,IF(_xlfn.NUMBERVALUE(CONCATENATE(YEAR($A$10),MONTH($A$10)))&lt;_xlfn.NUMBERVALUE(CONCATENATE($B$2,MONTH(H$2))),VLOOKUP(Tabela6[[#This Row],[Coluna1]],Planodecontas[],3,FALSE),0), SUMIF(Lançamento!$A$2:$A$67,"="&amp;CONCATENATE(H$10,$A46),Lançamento!$D$2:$D$67))</f>
        <v>400</v>
      </c>
      <c r="I46" s="83">
        <f ca="1">IF(SUMIF(Lançamento!$A$2:$A$67,"="&amp;CONCATENATE(I$10,$A46),Lançamento!$D$2:$D$67) &lt;=0,IF(_xlfn.NUMBERVALUE(CONCATENATE(YEAR($A$10),MONTH($A$10)))&lt;_xlfn.NUMBERVALUE(CONCATENATE($B$2,MONTH(I$2))),VLOOKUP(Tabela6[[#This Row],[Coluna1]],Planodecontas[],3,FALSE),0), SUMIF(Lançamento!$A$2:$A$67,"="&amp;CONCATENATE(I$10,$A46),Lançamento!$D$2:$D$67))</f>
        <v>400</v>
      </c>
      <c r="J46" s="83">
        <f ca="1">IF(SUMIF(Lançamento!$A$2:$A$67,"="&amp;CONCATENATE(J$10,$A46),Lançamento!$D$2:$D$67) &lt;=0,IF(_xlfn.NUMBERVALUE(CONCATENATE(YEAR($A$10),MONTH($A$10)))&lt;_xlfn.NUMBERVALUE(CONCATENATE($B$2,MONTH(J$2))),VLOOKUP(Tabela6[[#This Row],[Coluna1]],Planodecontas[],3,FALSE),0), SUMIF(Lançamento!$A$2:$A$67,"="&amp;CONCATENATE(J$10,$A46),Lançamento!$D$2:$D$67))</f>
        <v>400</v>
      </c>
      <c r="K46" s="83">
        <f ca="1">IF(SUMIF(Lançamento!$A$2:$A$67,"="&amp;CONCATENATE(K$10,$A46),Lançamento!$D$2:$D$67) &lt;=0,IF(_xlfn.NUMBERVALUE(CONCATENATE(YEAR($A$10),MONTH($A$10)))&lt;_xlfn.NUMBERVALUE(CONCATENATE($B$2,MONTH(K$2))),VLOOKUP(Tabela6[[#This Row],[Coluna1]],Planodecontas[],3,FALSE),0), SUMIF(Lançamento!$A$2:$A$67,"="&amp;CONCATENATE(K$10,$A46),Lançamento!$D$2:$D$67))</f>
        <v>400</v>
      </c>
      <c r="L46" s="83">
        <f ca="1">IF(SUMIF(Lançamento!$A$2:$A$67,"="&amp;CONCATENATE(L$10,$A46),Lançamento!$D$2:$D$67) &lt;=0,IF(_xlfn.NUMBERVALUE(CONCATENATE(YEAR($A$10),MONTH($A$10)))&lt;_xlfn.NUMBERVALUE(CONCATENATE($B$2,MONTH(L$2))),VLOOKUP(Tabela6[[#This Row],[Coluna1]],Planodecontas[],3,FALSE),0), SUMIF(Lançamento!$A$2:$A$67,"="&amp;CONCATENATE(L$10,$A46),Lançamento!$D$2:$D$67))</f>
        <v>400</v>
      </c>
      <c r="M46" s="83">
        <f ca="1">IF(SUMIF(Lançamento!$A$2:$A$67,"="&amp;CONCATENATE(M$10,$A46),Lançamento!$D$2:$D$67) &lt;=0,IF(_xlfn.NUMBERVALUE(CONCATENATE(YEAR($A$10),MONTH($A$10)))&lt;_xlfn.NUMBERVALUE(CONCATENATE($B$2,MONTH(M$2))),VLOOKUP(Tabela6[[#This Row],[Coluna1]],Planodecontas[],3,FALSE),0), SUMIF(Lançamento!$A$2:$A$67,"="&amp;CONCATENATE(M$10,$A46),Lançamento!$D$2:$D$67))</f>
        <v>400</v>
      </c>
      <c r="N46" s="83">
        <f>IF(SUMIF(Lançamento!$A$2:$A$67,"="&amp;CONCATENATE(N$10,$A46),Lançamento!$D$2:$D$67) &lt;=0,IF(_xlfn.NUMBERVALUE(CONCATENATE(YEAR($A$10),MONTH($A$10)))&lt;_xlfn.NUMBERVALUE(CONCATENATE($B$2,MONTH(N$2))),VLOOKUP(Tabela6[[#This Row],[Coluna1]],Planodecontas[],3,FALSE),0), SUMIF(Lançamento!$A$2:$A$67,"="&amp;CONCATENATE(N$10,$A46),Lançamento!$D$2:$D$67))</f>
        <v>134.79</v>
      </c>
      <c r="O46" s="20">
        <f ca="1">SUM(Tabela6[[#This Row],[Coluna3]:[Coluna14]])</f>
        <v>2934.79</v>
      </c>
    </row>
    <row r="47" spans="1:15" x14ac:dyDescent="0.25">
      <c r="A47" s="21" t="s">
        <v>52</v>
      </c>
      <c r="B47" s="22">
        <f>VLOOKUP(A47,Planodecontas[],3,FALSE)</f>
        <v>0</v>
      </c>
      <c r="C47" s="83">
        <f ca="1">IF(SUMIF(Lançamento!$A$2:$A$67,"="&amp;CONCATENATE(C$10,$A47),Lançamento!$D$2:$D$67) &lt;=0,IF(_xlfn.NUMBERVALUE(CONCATENATE(YEAR($A$10),MONTH($A$10)))&lt;_xlfn.NUMBERVALUE(CONCATENATE($B$2,MONTH(C$2))),VLOOKUP(Tabela6[[#This Row],[Coluna1]],Planodecontas[],3,FALSE),0), SUMIF(Lançamento!$A$2:$A$67,"="&amp;CONCATENATE(C$10,$A47),Lançamento!$D$2:$D$67))</f>
        <v>0</v>
      </c>
      <c r="D47" s="83">
        <f ca="1">IF(SUMIF(Lançamento!$A$2:$A$67,"="&amp;CONCATENATE(D$10,$A47),Lançamento!$D$2:$D$67) &lt;=0,IF(_xlfn.NUMBERVALUE(CONCATENATE(YEAR($A$10),MONTH($A$10)))&lt;_xlfn.NUMBERVALUE(CONCATENATE($B$2,MONTH(D$2))),VLOOKUP(Tabela6[[#This Row],[Coluna1]],Planodecontas[],3,FALSE),0), SUMIF(Lançamento!$A$2:$A$67,"="&amp;CONCATENATE(D$10,$A47),Lançamento!$D$2:$D$67))</f>
        <v>0</v>
      </c>
      <c r="E47" s="83">
        <f ca="1">IF(SUMIF(Lançamento!$A$2:$A$67,"="&amp;CONCATENATE(E$10,$A47),Lançamento!$D$2:$D$67) &lt;=0,IF(_xlfn.NUMBERVALUE(CONCATENATE(YEAR($A$10),MONTH($A$10)))&lt;_xlfn.NUMBERVALUE(CONCATENATE($B$2,MONTH(E$2))),VLOOKUP(Tabela6[[#This Row],[Coluna1]],Planodecontas[],3,FALSE),0), SUMIF(Lançamento!$A$2:$A$67,"="&amp;CONCATENATE(E$10,$A47),Lançamento!$D$2:$D$67))</f>
        <v>0</v>
      </c>
      <c r="F47" s="83">
        <f ca="1">IF(SUMIF(Lançamento!$A$2:$A$67,"="&amp;CONCATENATE(F$10,$A47),Lançamento!$D$2:$D$67) &lt;=0,IF(_xlfn.NUMBERVALUE(CONCATENATE(YEAR($A$10),MONTH($A$10)))&lt;_xlfn.NUMBERVALUE(CONCATENATE($B$2,MONTH(F$2))),VLOOKUP(Tabela6[[#This Row],[Coluna1]],Planodecontas[],3,FALSE),0), SUMIF(Lançamento!$A$2:$A$67,"="&amp;CONCATENATE(F$10,$A47),Lançamento!$D$2:$D$67))</f>
        <v>0</v>
      </c>
      <c r="G47" s="83">
        <f ca="1">IF(SUMIF(Lançamento!$A$2:$A$67,"="&amp;CONCATENATE(G$10,$A47),Lançamento!$D$2:$D$67) &lt;=0,IF(_xlfn.NUMBERVALUE(CONCATENATE(YEAR($A$10),MONTH($A$10)))&lt;_xlfn.NUMBERVALUE(CONCATENATE($B$2,MONTH(G$2))),VLOOKUP(Tabela6[[#This Row],[Coluna1]],Planodecontas[],3,FALSE),0), SUMIF(Lançamento!$A$2:$A$67,"="&amp;CONCATENATE(G$10,$A47),Lançamento!$D$2:$D$67))</f>
        <v>0</v>
      </c>
      <c r="H47" s="83">
        <f ca="1">IF(SUMIF(Lançamento!$A$2:$A$67,"="&amp;CONCATENATE(H$10,$A47),Lançamento!$D$2:$D$67) &lt;=0,IF(_xlfn.NUMBERVALUE(CONCATENATE(YEAR($A$10),MONTH($A$10)))&lt;_xlfn.NUMBERVALUE(CONCATENATE($B$2,MONTH(H$2))),VLOOKUP(Tabela6[[#This Row],[Coluna1]],Planodecontas[],3,FALSE),0), SUMIF(Lançamento!$A$2:$A$67,"="&amp;CONCATENATE(H$10,$A47),Lançamento!$D$2:$D$67))</f>
        <v>0</v>
      </c>
      <c r="I47" s="83">
        <f ca="1">IF(SUMIF(Lançamento!$A$2:$A$67,"="&amp;CONCATENATE(I$10,$A47),Lançamento!$D$2:$D$67) &lt;=0,IF(_xlfn.NUMBERVALUE(CONCATENATE(YEAR($A$10),MONTH($A$10)))&lt;_xlfn.NUMBERVALUE(CONCATENATE($B$2,MONTH(I$2))),VLOOKUP(Tabela6[[#This Row],[Coluna1]],Planodecontas[],3,FALSE),0), SUMIF(Lançamento!$A$2:$A$67,"="&amp;CONCATENATE(I$10,$A47),Lançamento!$D$2:$D$67))</f>
        <v>0</v>
      </c>
      <c r="J47" s="83">
        <f ca="1">IF(SUMIF(Lançamento!$A$2:$A$67,"="&amp;CONCATENATE(J$10,$A47),Lançamento!$D$2:$D$67) &lt;=0,IF(_xlfn.NUMBERVALUE(CONCATENATE(YEAR($A$10),MONTH($A$10)))&lt;_xlfn.NUMBERVALUE(CONCATENATE($B$2,MONTH(J$2))),VLOOKUP(Tabela6[[#This Row],[Coluna1]],Planodecontas[],3,FALSE),0), SUMIF(Lançamento!$A$2:$A$67,"="&amp;CONCATENATE(J$10,$A47),Lançamento!$D$2:$D$67))</f>
        <v>0</v>
      </c>
      <c r="K47" s="83">
        <f ca="1">IF(SUMIF(Lançamento!$A$2:$A$67,"="&amp;CONCATENATE(K$10,$A47),Lançamento!$D$2:$D$67) &lt;=0,IF(_xlfn.NUMBERVALUE(CONCATENATE(YEAR($A$10),MONTH($A$10)))&lt;_xlfn.NUMBERVALUE(CONCATENATE($B$2,MONTH(K$2))),VLOOKUP(Tabela6[[#This Row],[Coluna1]],Planodecontas[],3,FALSE),0), SUMIF(Lançamento!$A$2:$A$67,"="&amp;CONCATENATE(K$10,$A47),Lançamento!$D$2:$D$67))</f>
        <v>0</v>
      </c>
      <c r="L47" s="83">
        <f ca="1">IF(SUMIF(Lançamento!$A$2:$A$67,"="&amp;CONCATENATE(L$10,$A47),Lançamento!$D$2:$D$67) &lt;=0,IF(_xlfn.NUMBERVALUE(CONCATENATE(YEAR($A$10),MONTH($A$10)))&lt;_xlfn.NUMBERVALUE(CONCATENATE($B$2,MONTH(L$2))),VLOOKUP(Tabela6[[#This Row],[Coluna1]],Planodecontas[],3,FALSE),0), SUMIF(Lançamento!$A$2:$A$67,"="&amp;CONCATENATE(L$10,$A47),Lançamento!$D$2:$D$67))</f>
        <v>0</v>
      </c>
      <c r="M47" s="83">
        <f ca="1">IF(SUMIF(Lançamento!$A$2:$A$67,"="&amp;CONCATENATE(M$10,$A47),Lançamento!$D$2:$D$67) &lt;=0,IF(_xlfn.NUMBERVALUE(CONCATENATE(YEAR($A$10),MONTH($A$10)))&lt;_xlfn.NUMBERVALUE(CONCATENATE($B$2,MONTH(M$2))),VLOOKUP(Tabela6[[#This Row],[Coluna1]],Planodecontas[],3,FALSE),0), SUMIF(Lançamento!$A$2:$A$67,"="&amp;CONCATENATE(M$10,$A47),Lançamento!$D$2:$D$67))</f>
        <v>0</v>
      </c>
      <c r="N47" s="83">
        <f>IF(SUMIF(Lançamento!$A$2:$A$67,"="&amp;CONCATENATE(N$10,$A47),Lançamento!$D$2:$D$67) &lt;=0,IF(_xlfn.NUMBERVALUE(CONCATENATE(YEAR($A$10),MONTH($A$10)))&lt;_xlfn.NUMBERVALUE(CONCATENATE($B$2,MONTH(N$2))),VLOOKUP(Tabela6[[#This Row],[Coluna1]],Planodecontas[],3,FALSE),0), SUMIF(Lançamento!$A$2:$A$67,"="&amp;CONCATENATE(N$10,$A47),Lançamento!$D$2:$D$67))</f>
        <v>163.87</v>
      </c>
      <c r="O47" s="20">
        <f ca="1">SUM(Tabela6[[#This Row],[Coluna3]:[Coluna14]])</f>
        <v>163.87</v>
      </c>
    </row>
    <row r="48" spans="1:15" x14ac:dyDescent="0.25">
      <c r="A48" s="21" t="s">
        <v>7</v>
      </c>
      <c r="B48" s="22">
        <f>VLOOKUP(A48,Planodecontas[],3,FALSE)</f>
        <v>23</v>
      </c>
      <c r="C48" s="83">
        <f ca="1">IF(SUMIF(Lançamento!$A$2:$A$67,"="&amp;CONCATENATE(C$10,$A48),Lançamento!$D$2:$D$67) &lt;=0,IF(_xlfn.NUMBERVALUE(CONCATENATE(YEAR($A$10),MONTH($A$10)))&lt;_xlfn.NUMBERVALUE(CONCATENATE($B$2,MONTH(C$2))),VLOOKUP(Tabela6[[#This Row],[Coluna1]],Planodecontas[],3,FALSE),0), SUMIF(Lançamento!$A$2:$A$67,"="&amp;CONCATENATE(C$10,$A48),Lançamento!$D$2:$D$67))</f>
        <v>0</v>
      </c>
      <c r="D48" s="83">
        <f ca="1">IF(SUMIF(Lançamento!$A$2:$A$67,"="&amp;CONCATENATE(D$10,$A48),Lançamento!$D$2:$D$67) &lt;=0,IF(_xlfn.NUMBERVALUE(CONCATENATE(YEAR($A$10),MONTH($A$10)))&lt;_xlfn.NUMBERVALUE(CONCATENATE($B$2,MONTH(D$2))),VLOOKUP(Tabela6[[#This Row],[Coluna1]],Planodecontas[],3,FALSE),0), SUMIF(Lançamento!$A$2:$A$67,"="&amp;CONCATENATE(D$10,$A48),Lançamento!$D$2:$D$67))</f>
        <v>0</v>
      </c>
      <c r="E48" s="83">
        <f ca="1">IF(SUMIF(Lançamento!$A$2:$A$67,"="&amp;CONCATENATE(E$10,$A48),Lançamento!$D$2:$D$67) &lt;=0,IF(_xlfn.NUMBERVALUE(CONCATENATE(YEAR($A$10),MONTH($A$10)))&lt;_xlfn.NUMBERVALUE(CONCATENATE($B$2,MONTH(E$2))),VLOOKUP(Tabela6[[#This Row],[Coluna1]],Planodecontas[],3,FALSE),0), SUMIF(Lançamento!$A$2:$A$67,"="&amp;CONCATENATE(E$10,$A48),Lançamento!$D$2:$D$67))</f>
        <v>0</v>
      </c>
      <c r="F48" s="83">
        <f ca="1">IF(SUMIF(Lançamento!$A$2:$A$67,"="&amp;CONCATENATE(F$10,$A48),Lançamento!$D$2:$D$67) &lt;=0,IF(_xlfn.NUMBERVALUE(CONCATENATE(YEAR($A$10),MONTH($A$10)))&lt;_xlfn.NUMBERVALUE(CONCATENATE($B$2,MONTH(F$2))),VLOOKUP(Tabela6[[#This Row],[Coluna1]],Planodecontas[],3,FALSE),0), SUMIF(Lançamento!$A$2:$A$67,"="&amp;CONCATENATE(F$10,$A48),Lançamento!$D$2:$D$67))</f>
        <v>0</v>
      </c>
      <c r="G48" s="83">
        <f ca="1">IF(SUMIF(Lançamento!$A$2:$A$67,"="&amp;CONCATENATE(G$10,$A48),Lançamento!$D$2:$D$67) &lt;=0,IF(_xlfn.NUMBERVALUE(CONCATENATE(YEAR($A$10),MONTH($A$10)))&lt;_xlfn.NUMBERVALUE(CONCATENATE($B$2,MONTH(G$2))),VLOOKUP(Tabela6[[#This Row],[Coluna1]],Planodecontas[],3,FALSE),0), SUMIF(Lançamento!$A$2:$A$67,"="&amp;CONCATENATE(G$10,$A48),Lançamento!$D$2:$D$67))</f>
        <v>23</v>
      </c>
      <c r="H48" s="83">
        <f ca="1">IF(SUMIF(Lançamento!$A$2:$A$67,"="&amp;CONCATENATE(H$10,$A48),Lançamento!$D$2:$D$67) &lt;=0,IF(_xlfn.NUMBERVALUE(CONCATENATE(YEAR($A$10),MONTH($A$10)))&lt;_xlfn.NUMBERVALUE(CONCATENATE($B$2,MONTH(H$2))),VLOOKUP(Tabela6[[#This Row],[Coluna1]],Planodecontas[],3,FALSE),0), SUMIF(Lançamento!$A$2:$A$67,"="&amp;CONCATENATE(H$10,$A48),Lançamento!$D$2:$D$67))</f>
        <v>23</v>
      </c>
      <c r="I48" s="83">
        <f ca="1">IF(SUMIF(Lançamento!$A$2:$A$67,"="&amp;CONCATENATE(I$10,$A48),Lançamento!$D$2:$D$67) &lt;=0,IF(_xlfn.NUMBERVALUE(CONCATENATE(YEAR($A$10),MONTH($A$10)))&lt;_xlfn.NUMBERVALUE(CONCATENATE($B$2,MONTH(I$2))),VLOOKUP(Tabela6[[#This Row],[Coluna1]],Planodecontas[],3,FALSE),0), SUMIF(Lançamento!$A$2:$A$67,"="&amp;CONCATENATE(I$10,$A48),Lançamento!$D$2:$D$67))</f>
        <v>23</v>
      </c>
      <c r="J48" s="83">
        <f ca="1">IF(SUMIF(Lançamento!$A$2:$A$67,"="&amp;CONCATENATE(J$10,$A48),Lançamento!$D$2:$D$67) &lt;=0,IF(_xlfn.NUMBERVALUE(CONCATENATE(YEAR($A$10),MONTH($A$10)))&lt;_xlfn.NUMBERVALUE(CONCATENATE($B$2,MONTH(J$2))),VLOOKUP(Tabela6[[#This Row],[Coluna1]],Planodecontas[],3,FALSE),0), SUMIF(Lançamento!$A$2:$A$67,"="&amp;CONCATENATE(J$10,$A48),Lançamento!$D$2:$D$67))</f>
        <v>23</v>
      </c>
      <c r="K48" s="83">
        <f ca="1">IF(SUMIF(Lançamento!$A$2:$A$67,"="&amp;CONCATENATE(K$10,$A48),Lançamento!$D$2:$D$67) &lt;=0,IF(_xlfn.NUMBERVALUE(CONCATENATE(YEAR($A$10),MONTH($A$10)))&lt;_xlfn.NUMBERVALUE(CONCATENATE($B$2,MONTH(K$2))),VLOOKUP(Tabela6[[#This Row],[Coluna1]],Planodecontas[],3,FALSE),0), SUMIF(Lançamento!$A$2:$A$67,"="&amp;CONCATENATE(K$10,$A48),Lançamento!$D$2:$D$67))</f>
        <v>23</v>
      </c>
      <c r="L48" s="83">
        <f ca="1">IF(SUMIF(Lançamento!$A$2:$A$67,"="&amp;CONCATENATE(L$10,$A48),Lançamento!$D$2:$D$67) &lt;=0,IF(_xlfn.NUMBERVALUE(CONCATENATE(YEAR($A$10),MONTH($A$10)))&lt;_xlfn.NUMBERVALUE(CONCATENATE($B$2,MONTH(L$2))),VLOOKUP(Tabela6[[#This Row],[Coluna1]],Planodecontas[],3,FALSE),0), SUMIF(Lançamento!$A$2:$A$67,"="&amp;CONCATENATE(L$10,$A48),Lançamento!$D$2:$D$67))</f>
        <v>23</v>
      </c>
      <c r="M48" s="83">
        <f ca="1">IF(SUMIF(Lançamento!$A$2:$A$67,"="&amp;CONCATENATE(M$10,$A48),Lançamento!$D$2:$D$67) &lt;=0,IF(_xlfn.NUMBERVALUE(CONCATENATE(YEAR($A$10),MONTH($A$10)))&lt;_xlfn.NUMBERVALUE(CONCATENATE($B$2,MONTH(M$2))),VLOOKUP(Tabela6[[#This Row],[Coluna1]],Planodecontas[],3,FALSE),0), SUMIF(Lançamento!$A$2:$A$67,"="&amp;CONCATENATE(M$10,$A48),Lançamento!$D$2:$D$67))</f>
        <v>23</v>
      </c>
      <c r="N48" s="83">
        <f>IF(SUMIF(Lançamento!$A$2:$A$67,"="&amp;CONCATENATE(N$10,$A48),Lançamento!$D$2:$D$67) &lt;=0,IF(_xlfn.NUMBERVALUE(CONCATENATE(YEAR($A$10),MONTH($A$10)))&lt;_xlfn.NUMBERVALUE(CONCATENATE($B$2,MONTH(N$2))),VLOOKUP(Tabela6[[#This Row],[Coluna1]],Planodecontas[],3,FALSE),0), SUMIF(Lançamento!$A$2:$A$67,"="&amp;CONCATENATE(N$10,$A48),Lançamento!$D$2:$D$67))</f>
        <v>42.46</v>
      </c>
      <c r="O48" s="20">
        <f ca="1">SUM(Tabela6[[#This Row],[Coluna3]:[Coluna14]])</f>
        <v>203.46</v>
      </c>
    </row>
    <row r="49" spans="1:16" x14ac:dyDescent="0.25">
      <c r="A49" s="21" t="s">
        <v>99</v>
      </c>
      <c r="B49" s="22">
        <f>VLOOKUP(A49,Planodecontas[],3,FALSE)</f>
        <v>0</v>
      </c>
      <c r="C49" s="83">
        <f ca="1">IF(SUMIF(Lançamento!$A$2:$A$67,"="&amp;CONCATENATE(C$10,$A49),Lançamento!$D$2:$D$67) &lt;=0,IF(_xlfn.NUMBERVALUE(CONCATENATE(YEAR($A$10),MONTH($A$10)))&lt;_xlfn.NUMBERVALUE(CONCATENATE($B$2,MONTH(C$2))),VLOOKUP(Tabela6[[#This Row],[Coluna1]],Planodecontas[],3,FALSE),0), SUMIF(Lançamento!$A$2:$A$67,"="&amp;CONCATENATE(C$10,$A49),Lançamento!$D$2:$D$67))</f>
        <v>0</v>
      </c>
      <c r="D49" s="83">
        <f ca="1">IF(SUMIF(Lançamento!$A$2:$A$67,"="&amp;CONCATENATE(D$10,$A49),Lançamento!$D$2:$D$67) &lt;=0,IF(_xlfn.NUMBERVALUE(CONCATENATE(YEAR($A$10),MONTH($A$10)))&lt;_xlfn.NUMBERVALUE(CONCATENATE($B$2,MONTH(D$2))),VLOOKUP(Tabela6[[#This Row],[Coluna1]],Planodecontas[],3,FALSE),0), SUMIF(Lançamento!$A$2:$A$67,"="&amp;CONCATENATE(D$10,$A49),Lançamento!$D$2:$D$67))</f>
        <v>0</v>
      </c>
      <c r="E49" s="83">
        <f ca="1">IF(SUMIF(Lançamento!$A$2:$A$67,"="&amp;CONCATENATE(E$10,$A49),Lançamento!$D$2:$D$67) &lt;=0,IF(_xlfn.NUMBERVALUE(CONCATENATE(YEAR($A$10),MONTH($A$10)))&lt;_xlfn.NUMBERVALUE(CONCATENATE($B$2,MONTH(E$2))),VLOOKUP(Tabela6[[#This Row],[Coluna1]],Planodecontas[],3,FALSE),0), SUMIF(Lançamento!$A$2:$A$67,"="&amp;CONCATENATE(E$10,$A49),Lançamento!$D$2:$D$67))</f>
        <v>0</v>
      </c>
      <c r="F49" s="83">
        <f ca="1">IF(SUMIF(Lançamento!$A$2:$A$67,"="&amp;CONCATENATE(F$10,$A49),Lançamento!$D$2:$D$67) &lt;=0,IF(_xlfn.NUMBERVALUE(CONCATENATE(YEAR($A$10),MONTH($A$10)))&lt;_xlfn.NUMBERVALUE(CONCATENATE($B$2,MONTH(F$2))),VLOOKUP(Tabela6[[#This Row],[Coluna1]],Planodecontas[],3,FALSE),0), SUMIF(Lançamento!$A$2:$A$67,"="&amp;CONCATENATE(F$10,$A49),Lançamento!$D$2:$D$67))</f>
        <v>0</v>
      </c>
      <c r="G49" s="83">
        <f ca="1">IF(SUMIF(Lançamento!$A$2:$A$67,"="&amp;CONCATENATE(G$10,$A49),Lançamento!$D$2:$D$67) &lt;=0,IF(_xlfn.NUMBERVALUE(CONCATENATE(YEAR($A$10),MONTH($A$10)))&lt;_xlfn.NUMBERVALUE(CONCATENATE($B$2,MONTH(G$2))),VLOOKUP(Tabela6[[#This Row],[Coluna1]],Planodecontas[],3,FALSE),0), SUMIF(Lançamento!$A$2:$A$67,"="&amp;CONCATENATE(G$10,$A49),Lançamento!$D$2:$D$67))</f>
        <v>0</v>
      </c>
      <c r="H49" s="83">
        <f ca="1">IF(SUMIF(Lançamento!$A$2:$A$67,"="&amp;CONCATENATE(H$10,$A49),Lançamento!$D$2:$D$67) &lt;=0,IF(_xlfn.NUMBERVALUE(CONCATENATE(YEAR($A$10),MONTH($A$10)))&lt;_xlfn.NUMBERVALUE(CONCATENATE($B$2,MONTH(H$2))),VLOOKUP(Tabela6[[#This Row],[Coluna1]],Planodecontas[],3,FALSE),0), SUMIF(Lançamento!$A$2:$A$67,"="&amp;CONCATENATE(H$10,$A49),Lançamento!$D$2:$D$67))</f>
        <v>0</v>
      </c>
      <c r="I49" s="83">
        <f ca="1">IF(SUMIF(Lançamento!$A$2:$A$67,"="&amp;CONCATENATE(I$10,$A49),Lançamento!$D$2:$D$67) &lt;=0,IF(_xlfn.NUMBERVALUE(CONCATENATE(YEAR($A$10),MONTH($A$10)))&lt;_xlfn.NUMBERVALUE(CONCATENATE($B$2,MONTH(I$2))),VLOOKUP(Tabela6[[#This Row],[Coluna1]],Planodecontas[],3,FALSE),0), SUMIF(Lançamento!$A$2:$A$67,"="&amp;CONCATENATE(I$10,$A49),Lançamento!$D$2:$D$67))</f>
        <v>0</v>
      </c>
      <c r="J49" s="83">
        <f ca="1">IF(SUMIF(Lançamento!$A$2:$A$67,"="&amp;CONCATENATE(J$10,$A49),Lançamento!$D$2:$D$67) &lt;=0,IF(_xlfn.NUMBERVALUE(CONCATENATE(YEAR($A$10),MONTH($A$10)))&lt;_xlfn.NUMBERVALUE(CONCATENATE($B$2,MONTH(J$2))),VLOOKUP(Tabela6[[#This Row],[Coluna1]],Planodecontas[],3,FALSE),0), SUMIF(Lançamento!$A$2:$A$67,"="&amp;CONCATENATE(J$10,$A49),Lançamento!$D$2:$D$67))</f>
        <v>0</v>
      </c>
      <c r="K49" s="83">
        <f ca="1">IF(SUMIF(Lançamento!$A$2:$A$67,"="&amp;CONCATENATE(K$10,$A49),Lançamento!$D$2:$D$67) &lt;=0,IF(_xlfn.NUMBERVALUE(CONCATENATE(YEAR($A$10),MONTH($A$10)))&lt;_xlfn.NUMBERVALUE(CONCATENATE($B$2,MONTH(K$2))),VLOOKUP(Tabela6[[#This Row],[Coluna1]],Planodecontas[],3,FALSE),0), SUMIF(Lançamento!$A$2:$A$67,"="&amp;CONCATENATE(K$10,$A49),Lançamento!$D$2:$D$67))</f>
        <v>0</v>
      </c>
      <c r="L49" s="83">
        <f ca="1">IF(SUMIF(Lançamento!$A$2:$A$67,"="&amp;CONCATENATE(L$10,$A49),Lançamento!$D$2:$D$67) &lt;=0,IF(_xlfn.NUMBERVALUE(CONCATENATE(YEAR($A$10),MONTH($A$10)))&lt;_xlfn.NUMBERVALUE(CONCATENATE($B$2,MONTH(L$2))),VLOOKUP(Tabela6[[#This Row],[Coluna1]],Planodecontas[],3,FALSE),0), SUMIF(Lançamento!$A$2:$A$67,"="&amp;CONCATENATE(L$10,$A49),Lançamento!$D$2:$D$67))</f>
        <v>0</v>
      </c>
      <c r="M49" s="83">
        <f ca="1">IF(SUMIF(Lançamento!$A$2:$A$67,"="&amp;CONCATENATE(M$10,$A49),Lançamento!$D$2:$D$67) &lt;=0,IF(_xlfn.NUMBERVALUE(CONCATENATE(YEAR($A$10),MONTH($A$10)))&lt;_xlfn.NUMBERVALUE(CONCATENATE($B$2,MONTH(M$2))),VLOOKUP(Tabela6[[#This Row],[Coluna1]],Planodecontas[],3,FALSE),0), SUMIF(Lançamento!$A$2:$A$67,"="&amp;CONCATENATE(M$10,$A49),Lançamento!$D$2:$D$67))</f>
        <v>0</v>
      </c>
      <c r="N49" s="83">
        <f>IF(SUMIF(Lançamento!$A$2:$A$67,"="&amp;CONCATENATE(N$10,$A49),Lançamento!$D$2:$D$67) &lt;=0,IF(_xlfn.NUMBERVALUE(CONCATENATE(YEAR($A$10),MONTH($A$10)))&lt;_xlfn.NUMBERVALUE(CONCATENATE($B$2,MONTH(N$2))),VLOOKUP(Tabela6[[#This Row],[Coluna1]],Planodecontas[],3,FALSE),0), SUMIF(Lançamento!$A$2:$A$67,"="&amp;CONCATENATE(N$10,$A49),Lançamento!$D$2:$D$67))</f>
        <v>238.38</v>
      </c>
      <c r="O49" s="20">
        <f ca="1">SUM(Tabela6[[#This Row],[Coluna3]:[Coluna14]])</f>
        <v>238.38</v>
      </c>
    </row>
    <row r="50" spans="1:16" x14ac:dyDescent="0.25">
      <c r="A50" s="21" t="s">
        <v>53</v>
      </c>
      <c r="B50" s="22">
        <f>VLOOKUP(A50,Planodecontas[],3,FALSE)</f>
        <v>0</v>
      </c>
      <c r="C50" s="83">
        <f ca="1">IF(SUMIF(Lançamento!$A$2:$A$67,"="&amp;CONCATENATE(C$10,$A50),Lançamento!$D$2:$D$67) &lt;=0,IF(_xlfn.NUMBERVALUE(CONCATENATE(YEAR($A$10),MONTH($A$10)))&lt;_xlfn.NUMBERVALUE(CONCATENATE($B$2,MONTH(C$2))),VLOOKUP(Tabela6[[#This Row],[Coluna1]],Planodecontas[],3,FALSE),0), SUMIF(Lançamento!$A$2:$A$67,"="&amp;CONCATENATE(C$10,$A50),Lançamento!$D$2:$D$67))</f>
        <v>0</v>
      </c>
      <c r="D50" s="83">
        <f ca="1">IF(SUMIF(Lançamento!$A$2:$A$67,"="&amp;CONCATENATE(D$10,$A50),Lançamento!$D$2:$D$67) &lt;=0,IF(_xlfn.NUMBERVALUE(CONCATENATE(YEAR($A$10),MONTH($A$10)))&lt;_xlfn.NUMBERVALUE(CONCATENATE($B$2,MONTH(D$2))),VLOOKUP(Tabela6[[#This Row],[Coluna1]],Planodecontas[],3,FALSE),0), SUMIF(Lançamento!$A$2:$A$67,"="&amp;CONCATENATE(D$10,$A50),Lançamento!$D$2:$D$67))</f>
        <v>0</v>
      </c>
      <c r="E50" s="83">
        <f ca="1">IF(SUMIF(Lançamento!$A$2:$A$67,"="&amp;CONCATENATE(E$10,$A50),Lançamento!$D$2:$D$67) &lt;=0,IF(_xlfn.NUMBERVALUE(CONCATENATE(YEAR($A$10),MONTH($A$10)))&lt;_xlfn.NUMBERVALUE(CONCATENATE($B$2,MONTH(E$2))),VLOOKUP(Tabela6[[#This Row],[Coluna1]],Planodecontas[],3,FALSE),0), SUMIF(Lançamento!$A$2:$A$67,"="&amp;CONCATENATE(E$10,$A50),Lançamento!$D$2:$D$67))</f>
        <v>0</v>
      </c>
      <c r="F50" s="83">
        <f ca="1">IF(SUMIF(Lançamento!$A$2:$A$67,"="&amp;CONCATENATE(F$10,$A50),Lançamento!$D$2:$D$67) &lt;=0,IF(_xlfn.NUMBERVALUE(CONCATENATE(YEAR($A$10),MONTH($A$10)))&lt;_xlfn.NUMBERVALUE(CONCATENATE($B$2,MONTH(F$2))),VLOOKUP(Tabela6[[#This Row],[Coluna1]],Planodecontas[],3,FALSE),0), SUMIF(Lançamento!$A$2:$A$67,"="&amp;CONCATENATE(F$10,$A50),Lançamento!$D$2:$D$67))</f>
        <v>0</v>
      </c>
      <c r="G50" s="83">
        <f ca="1">IF(SUMIF(Lançamento!$A$2:$A$67,"="&amp;CONCATENATE(G$10,$A50),Lançamento!$D$2:$D$67) &lt;=0,IF(_xlfn.NUMBERVALUE(CONCATENATE(YEAR($A$10),MONTH($A$10)))&lt;_xlfn.NUMBERVALUE(CONCATENATE($B$2,MONTH(G$2))),VLOOKUP(Tabela6[[#This Row],[Coluna1]],Planodecontas[],3,FALSE),0), SUMIF(Lançamento!$A$2:$A$67,"="&amp;CONCATENATE(G$10,$A50),Lançamento!$D$2:$D$67))</f>
        <v>0</v>
      </c>
      <c r="H50" s="83">
        <f ca="1">IF(SUMIF(Lançamento!$A$2:$A$67,"="&amp;CONCATENATE(H$10,$A50),Lançamento!$D$2:$D$67) &lt;=0,IF(_xlfn.NUMBERVALUE(CONCATENATE(YEAR($A$10),MONTH($A$10)))&lt;_xlfn.NUMBERVALUE(CONCATENATE($B$2,MONTH(H$2))),VLOOKUP(Tabela6[[#This Row],[Coluna1]],Planodecontas[],3,FALSE),0), SUMIF(Lançamento!$A$2:$A$67,"="&amp;CONCATENATE(H$10,$A50),Lançamento!$D$2:$D$67))</f>
        <v>0</v>
      </c>
      <c r="I50" s="83">
        <f ca="1">IF(SUMIF(Lançamento!$A$2:$A$67,"="&amp;CONCATENATE(I$10,$A50),Lançamento!$D$2:$D$67) &lt;=0,IF(_xlfn.NUMBERVALUE(CONCATENATE(YEAR($A$10),MONTH($A$10)))&lt;_xlfn.NUMBERVALUE(CONCATENATE($B$2,MONTH(I$2))),VLOOKUP(Tabela6[[#This Row],[Coluna1]],Planodecontas[],3,FALSE),0), SUMIF(Lançamento!$A$2:$A$67,"="&amp;CONCATENATE(I$10,$A50),Lançamento!$D$2:$D$67))</f>
        <v>0</v>
      </c>
      <c r="J50" s="83">
        <f ca="1">IF(SUMIF(Lançamento!$A$2:$A$67,"="&amp;CONCATENATE(J$10,$A50),Lançamento!$D$2:$D$67) &lt;=0,IF(_xlfn.NUMBERVALUE(CONCATENATE(YEAR($A$10),MONTH($A$10)))&lt;_xlfn.NUMBERVALUE(CONCATENATE($B$2,MONTH(J$2))),VLOOKUP(Tabela6[[#This Row],[Coluna1]],Planodecontas[],3,FALSE),0), SUMIF(Lançamento!$A$2:$A$67,"="&amp;CONCATENATE(J$10,$A50),Lançamento!$D$2:$D$67))</f>
        <v>0</v>
      </c>
      <c r="K50" s="83">
        <f ca="1">IF(SUMIF(Lançamento!$A$2:$A$67,"="&amp;CONCATENATE(K$10,$A50),Lançamento!$D$2:$D$67) &lt;=0,IF(_xlfn.NUMBERVALUE(CONCATENATE(YEAR($A$10),MONTH($A$10)))&lt;_xlfn.NUMBERVALUE(CONCATENATE($B$2,MONTH(K$2))),VLOOKUP(Tabela6[[#This Row],[Coluna1]],Planodecontas[],3,FALSE),0), SUMIF(Lançamento!$A$2:$A$67,"="&amp;CONCATENATE(K$10,$A50),Lançamento!$D$2:$D$67))</f>
        <v>0</v>
      </c>
      <c r="L50" s="83">
        <f ca="1">IF(SUMIF(Lançamento!$A$2:$A$67,"="&amp;CONCATENATE(L$10,$A50),Lançamento!$D$2:$D$67) &lt;=0,IF(_xlfn.NUMBERVALUE(CONCATENATE(YEAR($A$10),MONTH($A$10)))&lt;_xlfn.NUMBERVALUE(CONCATENATE($B$2,MONTH(L$2))),VLOOKUP(Tabela6[[#This Row],[Coluna1]],Planodecontas[],3,FALSE),0), SUMIF(Lançamento!$A$2:$A$67,"="&amp;CONCATENATE(L$10,$A50),Lançamento!$D$2:$D$67))</f>
        <v>0</v>
      </c>
      <c r="M50" s="83">
        <f ca="1">IF(SUMIF(Lançamento!$A$2:$A$67,"="&amp;CONCATENATE(M$10,$A50),Lançamento!$D$2:$D$67) &lt;=0,IF(_xlfn.NUMBERVALUE(CONCATENATE(YEAR($A$10),MONTH($A$10)))&lt;_xlfn.NUMBERVALUE(CONCATENATE($B$2,MONTH(M$2))),VLOOKUP(Tabela6[[#This Row],[Coluna1]],Planodecontas[],3,FALSE),0), SUMIF(Lançamento!$A$2:$A$67,"="&amp;CONCATENATE(M$10,$A50),Lançamento!$D$2:$D$67))</f>
        <v>0</v>
      </c>
      <c r="N50" s="83">
        <f>IF(SUMIF(Lançamento!$A$2:$A$67,"="&amp;CONCATENATE(N$10,$A50),Lançamento!$D$2:$D$67) &lt;=0,IF(_xlfn.NUMBERVALUE(CONCATENATE(YEAR($A$10),MONTH($A$10)))&lt;_xlfn.NUMBERVALUE(CONCATENATE($B$2,MONTH(N$2))),VLOOKUP(Tabela6[[#This Row],[Coluna1]],Planodecontas[],3,FALSE),0), SUMIF(Lançamento!$A$2:$A$67,"="&amp;CONCATENATE(N$10,$A50),Lançamento!$D$2:$D$67))</f>
        <v>95.45</v>
      </c>
      <c r="O50" s="20">
        <f ca="1">SUM(Tabela6[[#This Row],[Coluna3]:[Coluna14]])</f>
        <v>95.45</v>
      </c>
    </row>
    <row r="51" spans="1:16" x14ac:dyDescent="0.25">
      <c r="A51" s="21" t="s">
        <v>54</v>
      </c>
      <c r="B51" s="22">
        <f>VLOOKUP(A51,Planodecontas[],3,FALSE)</f>
        <v>0</v>
      </c>
      <c r="C51" s="83">
        <f ca="1">IF(SUMIF(Lançamento!$A$2:$A$67,"="&amp;CONCATENATE(C$10,$A51),Lançamento!$D$2:$D$67) &lt;=0,IF(_xlfn.NUMBERVALUE(CONCATENATE(YEAR($A$10),MONTH($A$10)))&lt;_xlfn.NUMBERVALUE(CONCATENATE($B$2,MONTH(C$2))),VLOOKUP(Tabela6[[#This Row],[Coluna1]],Planodecontas[],3,FALSE),0), SUMIF(Lançamento!$A$2:$A$67,"="&amp;CONCATENATE(C$10,$A51),Lançamento!$D$2:$D$67))</f>
        <v>0</v>
      </c>
      <c r="D51" s="83">
        <f ca="1">IF(SUMIF(Lançamento!$A$2:$A$67,"="&amp;CONCATENATE(D$10,$A51),Lançamento!$D$2:$D$67) &lt;=0,IF(_xlfn.NUMBERVALUE(CONCATENATE(YEAR($A$10),MONTH($A$10)))&lt;_xlfn.NUMBERVALUE(CONCATENATE($B$2,MONTH(D$2))),VLOOKUP(Tabela6[[#This Row],[Coluna1]],Planodecontas[],3,FALSE),0), SUMIF(Lançamento!$A$2:$A$67,"="&amp;CONCATENATE(D$10,$A51),Lançamento!$D$2:$D$67))</f>
        <v>0</v>
      </c>
      <c r="E51" s="83">
        <f ca="1">IF(SUMIF(Lançamento!$A$2:$A$67,"="&amp;CONCATENATE(E$10,$A51),Lançamento!$D$2:$D$67) &lt;=0,IF(_xlfn.NUMBERVALUE(CONCATENATE(YEAR($A$10),MONTH($A$10)))&lt;_xlfn.NUMBERVALUE(CONCATENATE($B$2,MONTH(E$2))),VLOOKUP(Tabela6[[#This Row],[Coluna1]],Planodecontas[],3,FALSE),0), SUMIF(Lançamento!$A$2:$A$67,"="&amp;CONCATENATE(E$10,$A51),Lançamento!$D$2:$D$67))</f>
        <v>0</v>
      </c>
      <c r="F51" s="83">
        <f ca="1">IF(SUMIF(Lançamento!$A$2:$A$67,"="&amp;CONCATENATE(F$10,$A51),Lançamento!$D$2:$D$67) &lt;=0,IF(_xlfn.NUMBERVALUE(CONCATENATE(YEAR($A$10),MONTH($A$10)))&lt;_xlfn.NUMBERVALUE(CONCATENATE($B$2,MONTH(F$2))),VLOOKUP(Tabela6[[#This Row],[Coluna1]],Planodecontas[],3,FALSE),0), SUMIF(Lançamento!$A$2:$A$67,"="&amp;CONCATENATE(F$10,$A51),Lançamento!$D$2:$D$67))</f>
        <v>0</v>
      </c>
      <c r="G51" s="83">
        <f ca="1">IF(SUMIF(Lançamento!$A$2:$A$67,"="&amp;CONCATENATE(G$10,$A51),Lançamento!$D$2:$D$67) &lt;=0,IF(_xlfn.NUMBERVALUE(CONCATENATE(YEAR($A$10),MONTH($A$10)))&lt;_xlfn.NUMBERVALUE(CONCATENATE($B$2,MONTH(G$2))),VLOOKUP(Tabela6[[#This Row],[Coluna1]],Planodecontas[],3,FALSE),0), SUMIF(Lançamento!$A$2:$A$67,"="&amp;CONCATENATE(G$10,$A51),Lançamento!$D$2:$D$67))</f>
        <v>0</v>
      </c>
      <c r="H51" s="83">
        <f ca="1">IF(SUMIF(Lançamento!$A$2:$A$67,"="&amp;CONCATENATE(H$10,$A51),Lançamento!$D$2:$D$67) &lt;=0,IF(_xlfn.NUMBERVALUE(CONCATENATE(YEAR($A$10),MONTH($A$10)))&lt;_xlfn.NUMBERVALUE(CONCATENATE($B$2,MONTH(H$2))),VLOOKUP(Tabela6[[#This Row],[Coluna1]],Planodecontas[],3,FALSE),0), SUMIF(Lançamento!$A$2:$A$67,"="&amp;CONCATENATE(H$10,$A51),Lançamento!$D$2:$D$67))</f>
        <v>0</v>
      </c>
      <c r="I51" s="83">
        <f ca="1">IF(SUMIF(Lançamento!$A$2:$A$67,"="&amp;CONCATENATE(I$10,$A51),Lançamento!$D$2:$D$67) &lt;=0,IF(_xlfn.NUMBERVALUE(CONCATENATE(YEAR($A$10),MONTH($A$10)))&lt;_xlfn.NUMBERVALUE(CONCATENATE($B$2,MONTH(I$2))),VLOOKUP(Tabela6[[#This Row],[Coluna1]],Planodecontas[],3,FALSE),0), SUMIF(Lançamento!$A$2:$A$67,"="&amp;CONCATENATE(I$10,$A51),Lançamento!$D$2:$D$67))</f>
        <v>0</v>
      </c>
      <c r="J51" s="83">
        <f ca="1">IF(SUMIF(Lançamento!$A$2:$A$67,"="&amp;CONCATENATE(J$10,$A51),Lançamento!$D$2:$D$67) &lt;=0,IF(_xlfn.NUMBERVALUE(CONCATENATE(YEAR($A$10),MONTH($A$10)))&lt;_xlfn.NUMBERVALUE(CONCATENATE($B$2,MONTH(J$2))),VLOOKUP(Tabela6[[#This Row],[Coluna1]],Planodecontas[],3,FALSE),0), SUMIF(Lançamento!$A$2:$A$67,"="&amp;CONCATENATE(J$10,$A51),Lançamento!$D$2:$D$67))</f>
        <v>0</v>
      </c>
      <c r="K51" s="83">
        <f ca="1">IF(SUMIF(Lançamento!$A$2:$A$67,"="&amp;CONCATENATE(K$10,$A51),Lançamento!$D$2:$D$67) &lt;=0,IF(_xlfn.NUMBERVALUE(CONCATENATE(YEAR($A$10),MONTH($A$10)))&lt;_xlfn.NUMBERVALUE(CONCATENATE($B$2,MONTH(K$2))),VLOOKUP(Tabela6[[#This Row],[Coluna1]],Planodecontas[],3,FALSE),0), SUMIF(Lançamento!$A$2:$A$67,"="&amp;CONCATENATE(K$10,$A51),Lançamento!$D$2:$D$67))</f>
        <v>0</v>
      </c>
      <c r="L51" s="83">
        <f ca="1">IF(SUMIF(Lançamento!$A$2:$A$67,"="&amp;CONCATENATE(L$10,$A51),Lançamento!$D$2:$D$67) &lt;=0,IF(_xlfn.NUMBERVALUE(CONCATENATE(YEAR($A$10),MONTH($A$10)))&lt;_xlfn.NUMBERVALUE(CONCATENATE($B$2,MONTH(L$2))),VLOOKUP(Tabela6[[#This Row],[Coluna1]],Planodecontas[],3,FALSE),0), SUMIF(Lançamento!$A$2:$A$67,"="&amp;CONCATENATE(L$10,$A51),Lançamento!$D$2:$D$67))</f>
        <v>0</v>
      </c>
      <c r="M51" s="83">
        <f ca="1">IF(SUMIF(Lançamento!$A$2:$A$67,"="&amp;CONCATENATE(M$10,$A51),Lançamento!$D$2:$D$67) &lt;=0,IF(_xlfn.NUMBERVALUE(CONCATENATE(YEAR($A$10),MONTH($A$10)))&lt;_xlfn.NUMBERVALUE(CONCATENATE($B$2,MONTH(M$2))),VLOOKUP(Tabela6[[#This Row],[Coluna1]],Planodecontas[],3,FALSE),0), SUMIF(Lançamento!$A$2:$A$67,"="&amp;CONCATENATE(M$10,$A51),Lançamento!$D$2:$D$67))</f>
        <v>0</v>
      </c>
      <c r="N51" s="83">
        <f>IF(SUMIF(Lançamento!$A$2:$A$67,"="&amp;CONCATENATE(N$10,$A51),Lançamento!$D$2:$D$67) &lt;=0,IF(_xlfn.NUMBERVALUE(CONCATENATE(YEAR($A$10),MONTH($A$10)))&lt;_xlfn.NUMBERVALUE(CONCATENATE($B$2,MONTH(N$2))),VLOOKUP(Tabela6[[#This Row],[Coluna1]],Planodecontas[],3,FALSE),0), SUMIF(Lançamento!$A$2:$A$67,"="&amp;CONCATENATE(N$10,$A51),Lançamento!$D$2:$D$67))</f>
        <v>52.95</v>
      </c>
      <c r="O51" s="20">
        <f ca="1">SUM(Tabela6[[#This Row],[Coluna3]:[Coluna14]])</f>
        <v>52.95</v>
      </c>
    </row>
    <row r="52" spans="1:16" x14ac:dyDescent="0.25">
      <c r="A52" s="21" t="s">
        <v>71</v>
      </c>
      <c r="B52" s="22">
        <f>VLOOKUP(A52,Planodecontas[],3,FALSE)</f>
        <v>0</v>
      </c>
      <c r="C52" s="83">
        <f ca="1">IF(SUMIF(Lançamento!$A$2:$A$67,"="&amp;CONCATENATE(C$10,$A52),Lançamento!$D$2:$D$67) &lt;=0,IF(_xlfn.NUMBERVALUE(CONCATENATE(YEAR($A$10),MONTH($A$10)))&lt;_xlfn.NUMBERVALUE(CONCATENATE($B$2,MONTH(C$2))),VLOOKUP(Tabela6[[#This Row],[Coluna1]],Planodecontas[],3,FALSE),0), SUMIF(Lançamento!$A$2:$A$67,"="&amp;CONCATENATE(C$10,$A52),Lançamento!$D$2:$D$67))</f>
        <v>0</v>
      </c>
      <c r="D52" s="83">
        <f ca="1">IF(SUMIF(Lançamento!$A$2:$A$67,"="&amp;CONCATENATE(D$10,$A52),Lançamento!$D$2:$D$67) &lt;=0,IF(_xlfn.NUMBERVALUE(CONCATENATE(YEAR($A$10),MONTH($A$10)))&lt;_xlfn.NUMBERVALUE(CONCATENATE($B$2,MONTH(D$2))),VLOOKUP(Tabela6[[#This Row],[Coluna1]],Planodecontas[],3,FALSE),0), SUMIF(Lançamento!$A$2:$A$67,"="&amp;CONCATENATE(D$10,$A52),Lançamento!$D$2:$D$67))</f>
        <v>0</v>
      </c>
      <c r="E52" s="83">
        <f ca="1">IF(SUMIF(Lançamento!$A$2:$A$67,"="&amp;CONCATENATE(E$10,$A52),Lançamento!$D$2:$D$67) &lt;=0,IF(_xlfn.NUMBERVALUE(CONCATENATE(YEAR($A$10),MONTH($A$10)))&lt;_xlfn.NUMBERVALUE(CONCATENATE($B$2,MONTH(E$2))),VLOOKUP(Tabela6[[#This Row],[Coluna1]],Planodecontas[],3,FALSE),0), SUMIF(Lançamento!$A$2:$A$67,"="&amp;CONCATENATE(E$10,$A52),Lançamento!$D$2:$D$67))</f>
        <v>0</v>
      </c>
      <c r="F52" s="83">
        <f ca="1">IF(SUMIF(Lançamento!$A$2:$A$67,"="&amp;CONCATENATE(F$10,$A52),Lançamento!$D$2:$D$67) &lt;=0,IF(_xlfn.NUMBERVALUE(CONCATENATE(YEAR($A$10),MONTH($A$10)))&lt;_xlfn.NUMBERVALUE(CONCATENATE($B$2,MONTH(F$2))),VLOOKUP(Tabela6[[#This Row],[Coluna1]],Planodecontas[],3,FALSE),0), SUMIF(Lançamento!$A$2:$A$67,"="&amp;CONCATENATE(F$10,$A52),Lançamento!$D$2:$D$67))</f>
        <v>0</v>
      </c>
      <c r="G52" s="83">
        <f ca="1">IF(SUMIF(Lançamento!$A$2:$A$67,"="&amp;CONCATENATE(G$10,$A52),Lançamento!$D$2:$D$67) &lt;=0,IF(_xlfn.NUMBERVALUE(CONCATENATE(YEAR($A$10),MONTH($A$10)))&lt;_xlfn.NUMBERVALUE(CONCATENATE($B$2,MONTH(G$2))),VLOOKUP(Tabela6[[#This Row],[Coluna1]],Planodecontas[],3,FALSE),0), SUMIF(Lançamento!$A$2:$A$67,"="&amp;CONCATENATE(G$10,$A52),Lançamento!$D$2:$D$67))</f>
        <v>0</v>
      </c>
      <c r="H52" s="83">
        <f ca="1">IF(SUMIF(Lançamento!$A$2:$A$67,"="&amp;CONCATENATE(H$10,$A52),Lançamento!$D$2:$D$67) &lt;=0,IF(_xlfn.NUMBERVALUE(CONCATENATE(YEAR($A$10),MONTH($A$10)))&lt;_xlfn.NUMBERVALUE(CONCATENATE($B$2,MONTH(H$2))),VLOOKUP(Tabela6[[#This Row],[Coluna1]],Planodecontas[],3,FALSE),0), SUMIF(Lançamento!$A$2:$A$67,"="&amp;CONCATENATE(H$10,$A52),Lançamento!$D$2:$D$67))</f>
        <v>0</v>
      </c>
      <c r="I52" s="83">
        <f ca="1">IF(SUMIF(Lançamento!$A$2:$A$67,"="&amp;CONCATENATE(I$10,$A52),Lançamento!$D$2:$D$67) &lt;=0,IF(_xlfn.NUMBERVALUE(CONCATENATE(YEAR($A$10),MONTH($A$10)))&lt;_xlfn.NUMBERVALUE(CONCATENATE($B$2,MONTH(I$2))),VLOOKUP(Tabela6[[#This Row],[Coluna1]],Planodecontas[],3,FALSE),0), SUMIF(Lançamento!$A$2:$A$67,"="&amp;CONCATENATE(I$10,$A52),Lançamento!$D$2:$D$67))</f>
        <v>0</v>
      </c>
      <c r="J52" s="83">
        <f ca="1">IF(SUMIF(Lançamento!$A$2:$A$67,"="&amp;CONCATENATE(J$10,$A52),Lançamento!$D$2:$D$67) &lt;=0,IF(_xlfn.NUMBERVALUE(CONCATENATE(YEAR($A$10),MONTH($A$10)))&lt;_xlfn.NUMBERVALUE(CONCATENATE($B$2,MONTH(J$2))),VLOOKUP(Tabela6[[#This Row],[Coluna1]],Planodecontas[],3,FALSE),0), SUMIF(Lançamento!$A$2:$A$67,"="&amp;CONCATENATE(J$10,$A52),Lançamento!$D$2:$D$67))</f>
        <v>0</v>
      </c>
      <c r="K52" s="83">
        <f ca="1">IF(SUMIF(Lançamento!$A$2:$A$67,"="&amp;CONCATENATE(K$10,$A52),Lançamento!$D$2:$D$67) &lt;=0,IF(_xlfn.NUMBERVALUE(CONCATENATE(YEAR($A$10),MONTH($A$10)))&lt;_xlfn.NUMBERVALUE(CONCATENATE($B$2,MONTH(K$2))),VLOOKUP(Tabela6[[#This Row],[Coluna1]],Planodecontas[],3,FALSE),0), SUMIF(Lançamento!$A$2:$A$67,"="&amp;CONCATENATE(K$10,$A52),Lançamento!$D$2:$D$67))</f>
        <v>0</v>
      </c>
      <c r="L52" s="83">
        <f ca="1">IF(SUMIF(Lançamento!$A$2:$A$67,"="&amp;CONCATENATE(L$10,$A52),Lançamento!$D$2:$D$67) &lt;=0,IF(_xlfn.NUMBERVALUE(CONCATENATE(YEAR($A$10),MONTH($A$10)))&lt;_xlfn.NUMBERVALUE(CONCATENATE($B$2,MONTH(L$2))),VLOOKUP(Tabela6[[#This Row],[Coluna1]],Planodecontas[],3,FALSE),0), SUMIF(Lançamento!$A$2:$A$67,"="&amp;CONCATENATE(L$10,$A52),Lançamento!$D$2:$D$67))</f>
        <v>0</v>
      </c>
      <c r="M52" s="83">
        <f ca="1">IF(SUMIF(Lançamento!$A$2:$A$67,"="&amp;CONCATENATE(M$10,$A52),Lançamento!$D$2:$D$67) &lt;=0,IF(_xlfn.NUMBERVALUE(CONCATENATE(YEAR($A$10),MONTH($A$10)))&lt;_xlfn.NUMBERVALUE(CONCATENATE($B$2,MONTH(M$2))),VLOOKUP(Tabela6[[#This Row],[Coluna1]],Planodecontas[],3,FALSE),0), SUMIF(Lançamento!$A$2:$A$67,"="&amp;CONCATENATE(M$10,$A52),Lançamento!$D$2:$D$67))</f>
        <v>0</v>
      </c>
      <c r="N52" s="83">
        <f>IF(SUMIF(Lançamento!$A$2:$A$67,"="&amp;CONCATENATE(N$10,$A52),Lançamento!$D$2:$D$67) &lt;=0,IF(_xlfn.NUMBERVALUE(CONCATENATE(YEAR($A$10),MONTH($A$10)))&lt;_xlfn.NUMBERVALUE(CONCATENATE($B$2,MONTH(N$2))),VLOOKUP(Tabela6[[#This Row],[Coluna1]],Planodecontas[],3,FALSE),0), SUMIF(Lançamento!$A$2:$A$67,"="&amp;CONCATENATE(N$10,$A52),Lançamento!$D$2:$D$67))</f>
        <v>139.80000000000001</v>
      </c>
      <c r="O52" s="20">
        <f ca="1">SUM(Tabela6[[#This Row],[Coluna3]:[Coluna14]])</f>
        <v>139.80000000000001</v>
      </c>
    </row>
    <row r="53" spans="1:16" x14ac:dyDescent="0.25">
      <c r="A53" s="21" t="s">
        <v>72</v>
      </c>
      <c r="B53" s="22">
        <f>VLOOKUP(A53,Planodecontas[],3,FALSE)</f>
        <v>0</v>
      </c>
      <c r="C53" s="83">
        <f ca="1">IF(SUMIF(Lançamento!$A$2:$A$67,"="&amp;CONCATENATE(C$10,$A53),Lançamento!$D$2:$D$67) &lt;=0,IF(_xlfn.NUMBERVALUE(CONCATENATE(YEAR($A$10),MONTH($A$10)))&lt;_xlfn.NUMBERVALUE(CONCATENATE($B$2,MONTH(C$2))),VLOOKUP(Tabela6[[#This Row],[Coluna1]],Planodecontas[],3,FALSE),0), SUMIF(Lançamento!$A$2:$A$67,"="&amp;CONCATENATE(C$10,$A53),Lançamento!$D$2:$D$67))</f>
        <v>0</v>
      </c>
      <c r="D53" s="83">
        <f ca="1">IF(SUMIF(Lançamento!$A$2:$A$67,"="&amp;CONCATENATE(D$10,$A53),Lançamento!$D$2:$D$67) &lt;=0,IF(_xlfn.NUMBERVALUE(CONCATENATE(YEAR($A$10),MONTH($A$10)))&lt;_xlfn.NUMBERVALUE(CONCATENATE($B$2,MONTH(D$2))),VLOOKUP(Tabela6[[#This Row],[Coluna1]],Planodecontas[],3,FALSE),0), SUMIF(Lançamento!$A$2:$A$67,"="&amp;CONCATENATE(D$10,$A53),Lançamento!$D$2:$D$67))</f>
        <v>0</v>
      </c>
      <c r="E53" s="83">
        <f ca="1">IF(SUMIF(Lançamento!$A$2:$A$67,"="&amp;CONCATENATE(E$10,$A53),Lançamento!$D$2:$D$67) &lt;=0,IF(_xlfn.NUMBERVALUE(CONCATENATE(YEAR($A$10),MONTH($A$10)))&lt;_xlfn.NUMBERVALUE(CONCATENATE($B$2,MONTH(E$2))),VLOOKUP(Tabela6[[#This Row],[Coluna1]],Planodecontas[],3,FALSE),0), SUMIF(Lançamento!$A$2:$A$67,"="&amp;CONCATENATE(E$10,$A53),Lançamento!$D$2:$D$67))</f>
        <v>0</v>
      </c>
      <c r="F53" s="83">
        <f ca="1">IF(SUMIF(Lançamento!$A$2:$A$67,"="&amp;CONCATENATE(F$10,$A53),Lançamento!$D$2:$D$67) &lt;=0,IF(_xlfn.NUMBERVALUE(CONCATENATE(YEAR($A$10),MONTH($A$10)))&lt;_xlfn.NUMBERVALUE(CONCATENATE($B$2,MONTH(F$2))),VLOOKUP(Tabela6[[#This Row],[Coluna1]],Planodecontas[],3,FALSE),0), SUMIF(Lançamento!$A$2:$A$67,"="&amp;CONCATENATE(F$10,$A53),Lançamento!$D$2:$D$67))</f>
        <v>0</v>
      </c>
      <c r="G53" s="83">
        <f ca="1">IF(SUMIF(Lançamento!$A$2:$A$67,"="&amp;CONCATENATE(G$10,$A53),Lançamento!$D$2:$D$67) &lt;=0,IF(_xlfn.NUMBERVALUE(CONCATENATE(YEAR($A$10),MONTH($A$10)))&lt;_xlfn.NUMBERVALUE(CONCATENATE($B$2,MONTH(G$2))),VLOOKUP(Tabela6[[#This Row],[Coluna1]],Planodecontas[],3,FALSE),0), SUMIF(Lançamento!$A$2:$A$67,"="&amp;CONCATENATE(G$10,$A53),Lançamento!$D$2:$D$67))</f>
        <v>0</v>
      </c>
      <c r="H53" s="83">
        <f ca="1">IF(SUMIF(Lançamento!$A$2:$A$67,"="&amp;CONCATENATE(H$10,$A53),Lançamento!$D$2:$D$67) &lt;=0,IF(_xlfn.NUMBERVALUE(CONCATENATE(YEAR($A$10),MONTH($A$10)))&lt;_xlfn.NUMBERVALUE(CONCATENATE($B$2,MONTH(H$2))),VLOOKUP(Tabela6[[#This Row],[Coluna1]],Planodecontas[],3,FALSE),0), SUMIF(Lançamento!$A$2:$A$67,"="&amp;CONCATENATE(H$10,$A53),Lançamento!$D$2:$D$67))</f>
        <v>0</v>
      </c>
      <c r="I53" s="83">
        <f ca="1">IF(SUMIF(Lançamento!$A$2:$A$67,"="&amp;CONCATENATE(I$10,$A53),Lançamento!$D$2:$D$67) &lt;=0,IF(_xlfn.NUMBERVALUE(CONCATENATE(YEAR($A$10),MONTH($A$10)))&lt;_xlfn.NUMBERVALUE(CONCATENATE($B$2,MONTH(I$2))),VLOOKUP(Tabela6[[#This Row],[Coluna1]],Planodecontas[],3,FALSE),0), SUMIF(Lançamento!$A$2:$A$67,"="&amp;CONCATENATE(I$10,$A53),Lançamento!$D$2:$D$67))</f>
        <v>0</v>
      </c>
      <c r="J53" s="83">
        <f ca="1">IF(SUMIF(Lançamento!$A$2:$A$67,"="&amp;CONCATENATE(J$10,$A53),Lançamento!$D$2:$D$67) &lt;=0,IF(_xlfn.NUMBERVALUE(CONCATENATE(YEAR($A$10),MONTH($A$10)))&lt;_xlfn.NUMBERVALUE(CONCATENATE($B$2,MONTH(J$2))),VLOOKUP(Tabela6[[#This Row],[Coluna1]],Planodecontas[],3,FALSE),0), SUMIF(Lançamento!$A$2:$A$67,"="&amp;CONCATENATE(J$10,$A53),Lançamento!$D$2:$D$67))</f>
        <v>0</v>
      </c>
      <c r="K53" s="83">
        <f ca="1">IF(SUMIF(Lançamento!$A$2:$A$67,"="&amp;CONCATENATE(K$10,$A53),Lançamento!$D$2:$D$67) &lt;=0,IF(_xlfn.NUMBERVALUE(CONCATENATE(YEAR($A$10),MONTH($A$10)))&lt;_xlfn.NUMBERVALUE(CONCATENATE($B$2,MONTH(K$2))),VLOOKUP(Tabela6[[#This Row],[Coluna1]],Planodecontas[],3,FALSE),0), SUMIF(Lançamento!$A$2:$A$67,"="&amp;CONCATENATE(K$10,$A53),Lançamento!$D$2:$D$67))</f>
        <v>0</v>
      </c>
      <c r="L53" s="83">
        <f ca="1">IF(SUMIF(Lançamento!$A$2:$A$67,"="&amp;CONCATENATE(L$10,$A53),Lançamento!$D$2:$D$67) &lt;=0,IF(_xlfn.NUMBERVALUE(CONCATENATE(YEAR($A$10),MONTH($A$10)))&lt;_xlfn.NUMBERVALUE(CONCATENATE($B$2,MONTH(L$2))),VLOOKUP(Tabela6[[#This Row],[Coluna1]],Planodecontas[],3,FALSE),0), SUMIF(Lançamento!$A$2:$A$67,"="&amp;CONCATENATE(L$10,$A53),Lançamento!$D$2:$D$67))</f>
        <v>0</v>
      </c>
      <c r="M53" s="83">
        <f ca="1">IF(SUMIF(Lançamento!$A$2:$A$67,"="&amp;CONCATENATE(M$10,$A53),Lançamento!$D$2:$D$67) &lt;=0,IF(_xlfn.NUMBERVALUE(CONCATENATE(YEAR($A$10),MONTH($A$10)))&lt;_xlfn.NUMBERVALUE(CONCATENATE($B$2,MONTH(M$2))),VLOOKUP(Tabela6[[#This Row],[Coluna1]],Planodecontas[],3,FALSE),0), SUMIF(Lançamento!$A$2:$A$67,"="&amp;CONCATENATE(M$10,$A53),Lançamento!$D$2:$D$67))</f>
        <v>0</v>
      </c>
      <c r="N53" s="83">
        <f ca="1">IF(SUMIF(Lançamento!$A$2:$A$67,"="&amp;CONCATENATE(N$10,$A53),Lançamento!$D$2:$D$67) &lt;=0,IF(_xlfn.NUMBERVALUE(CONCATENATE(YEAR($A$10),MONTH($A$10)))&lt;_xlfn.NUMBERVALUE(CONCATENATE($B$2,MONTH(N$2))),VLOOKUP(Tabela6[[#This Row],[Coluna1]],Planodecontas[],3,FALSE),0), SUMIF(Lançamento!$A$2:$A$67,"="&amp;CONCATENATE(N$10,$A53),Lançamento!$D$2:$D$67))</f>
        <v>0</v>
      </c>
      <c r="O53" s="20">
        <f ca="1">SUM(Tabela6[[#This Row],[Coluna3]:[Coluna14]])</f>
        <v>0</v>
      </c>
    </row>
    <row r="54" spans="1:16" x14ac:dyDescent="0.25">
      <c r="A54" s="21" t="s">
        <v>55</v>
      </c>
      <c r="B54" s="22">
        <f>VLOOKUP(A54,Planodecontas[],3,FALSE)</f>
        <v>0</v>
      </c>
      <c r="C54" s="83">
        <f ca="1">IF(SUMIF(Lançamento!$A$2:$A$67,"="&amp;CONCATENATE(C$10,$A54),Lançamento!$D$2:$D$67) &lt;=0,IF(_xlfn.NUMBERVALUE(CONCATENATE(YEAR($A$10),MONTH($A$10)))&lt;_xlfn.NUMBERVALUE(CONCATENATE($B$2,MONTH(C$2))),VLOOKUP(Tabela6[[#This Row],[Coluna1]],Planodecontas[],3,FALSE),0), SUMIF(Lançamento!$A$2:$A$67,"="&amp;CONCATENATE(C$10,$A54),Lançamento!$D$2:$D$67))</f>
        <v>0</v>
      </c>
      <c r="D54" s="83">
        <f ca="1">IF(SUMIF(Lançamento!$A$2:$A$67,"="&amp;CONCATENATE(D$10,$A54),Lançamento!$D$2:$D$67) &lt;=0,IF(_xlfn.NUMBERVALUE(CONCATENATE(YEAR($A$10),MONTH($A$10)))&lt;_xlfn.NUMBERVALUE(CONCATENATE($B$2,MONTH(D$2))),VLOOKUP(Tabela6[[#This Row],[Coluna1]],Planodecontas[],3,FALSE),0), SUMIF(Lançamento!$A$2:$A$67,"="&amp;CONCATENATE(D$10,$A54),Lançamento!$D$2:$D$67))</f>
        <v>0</v>
      </c>
      <c r="E54" s="83">
        <f ca="1">IF(SUMIF(Lançamento!$A$2:$A$67,"="&amp;CONCATENATE(E$10,$A54),Lançamento!$D$2:$D$67) &lt;=0,IF(_xlfn.NUMBERVALUE(CONCATENATE(YEAR($A$10),MONTH($A$10)))&lt;_xlfn.NUMBERVALUE(CONCATENATE($B$2,MONTH(E$2))),VLOOKUP(Tabela6[[#This Row],[Coluna1]],Planodecontas[],3,FALSE),0), SUMIF(Lançamento!$A$2:$A$67,"="&amp;CONCATENATE(E$10,$A54),Lançamento!$D$2:$D$67))</f>
        <v>0</v>
      </c>
      <c r="F54" s="83">
        <f ca="1">IF(SUMIF(Lançamento!$A$2:$A$67,"="&amp;CONCATENATE(F$10,$A54),Lançamento!$D$2:$D$67) &lt;=0,IF(_xlfn.NUMBERVALUE(CONCATENATE(YEAR($A$10),MONTH($A$10)))&lt;_xlfn.NUMBERVALUE(CONCATENATE($B$2,MONTH(F$2))),VLOOKUP(Tabela6[[#This Row],[Coluna1]],Planodecontas[],3,FALSE),0), SUMIF(Lançamento!$A$2:$A$67,"="&amp;CONCATENATE(F$10,$A54),Lançamento!$D$2:$D$67))</f>
        <v>0</v>
      </c>
      <c r="G54" s="83">
        <f ca="1">IF(SUMIF(Lançamento!$A$2:$A$67,"="&amp;CONCATENATE(G$10,$A54),Lançamento!$D$2:$D$67) &lt;=0,IF(_xlfn.NUMBERVALUE(CONCATENATE(YEAR($A$10),MONTH($A$10)))&lt;_xlfn.NUMBERVALUE(CONCATENATE($B$2,MONTH(G$2))),VLOOKUP(Tabela6[[#This Row],[Coluna1]],Planodecontas[],3,FALSE),0), SUMIF(Lançamento!$A$2:$A$67,"="&amp;CONCATENATE(G$10,$A54),Lançamento!$D$2:$D$67))</f>
        <v>0</v>
      </c>
      <c r="H54" s="83">
        <f ca="1">IF(SUMIF(Lançamento!$A$2:$A$67,"="&amp;CONCATENATE(H$10,$A54),Lançamento!$D$2:$D$67) &lt;=0,IF(_xlfn.NUMBERVALUE(CONCATENATE(YEAR($A$10),MONTH($A$10)))&lt;_xlfn.NUMBERVALUE(CONCATENATE($B$2,MONTH(H$2))),VLOOKUP(Tabela6[[#This Row],[Coluna1]],Planodecontas[],3,FALSE),0), SUMIF(Lançamento!$A$2:$A$67,"="&amp;CONCATENATE(H$10,$A54),Lançamento!$D$2:$D$67))</f>
        <v>0</v>
      </c>
      <c r="I54" s="83">
        <f ca="1">IF(SUMIF(Lançamento!$A$2:$A$67,"="&amp;CONCATENATE(I$10,$A54),Lançamento!$D$2:$D$67) &lt;=0,IF(_xlfn.NUMBERVALUE(CONCATENATE(YEAR($A$10),MONTH($A$10)))&lt;_xlfn.NUMBERVALUE(CONCATENATE($B$2,MONTH(I$2))),VLOOKUP(Tabela6[[#This Row],[Coluna1]],Planodecontas[],3,FALSE),0), SUMIF(Lançamento!$A$2:$A$67,"="&amp;CONCATENATE(I$10,$A54),Lançamento!$D$2:$D$67))</f>
        <v>0</v>
      </c>
      <c r="J54" s="83">
        <f ca="1">IF(SUMIF(Lançamento!$A$2:$A$67,"="&amp;CONCATENATE(J$10,$A54),Lançamento!$D$2:$D$67) &lt;=0,IF(_xlfn.NUMBERVALUE(CONCATENATE(YEAR($A$10),MONTH($A$10)))&lt;_xlfn.NUMBERVALUE(CONCATENATE($B$2,MONTH(J$2))),VLOOKUP(Tabela6[[#This Row],[Coluna1]],Planodecontas[],3,FALSE),0), SUMIF(Lançamento!$A$2:$A$67,"="&amp;CONCATENATE(J$10,$A54),Lançamento!$D$2:$D$67))</f>
        <v>0</v>
      </c>
      <c r="K54" s="83">
        <f ca="1">IF(SUMIF(Lançamento!$A$2:$A$67,"="&amp;CONCATENATE(K$10,$A54),Lançamento!$D$2:$D$67) &lt;=0,IF(_xlfn.NUMBERVALUE(CONCATENATE(YEAR($A$10),MONTH($A$10)))&lt;_xlfn.NUMBERVALUE(CONCATENATE($B$2,MONTH(K$2))),VLOOKUP(Tabela6[[#This Row],[Coluna1]],Planodecontas[],3,FALSE),0), SUMIF(Lançamento!$A$2:$A$67,"="&amp;CONCATENATE(K$10,$A54),Lançamento!$D$2:$D$67))</f>
        <v>0</v>
      </c>
      <c r="L54" s="83">
        <f ca="1">IF(SUMIF(Lançamento!$A$2:$A$67,"="&amp;CONCATENATE(L$10,$A54),Lançamento!$D$2:$D$67) &lt;=0,IF(_xlfn.NUMBERVALUE(CONCATENATE(YEAR($A$10),MONTH($A$10)))&lt;_xlfn.NUMBERVALUE(CONCATENATE($B$2,MONTH(L$2))),VLOOKUP(Tabela6[[#This Row],[Coluna1]],Planodecontas[],3,FALSE),0), SUMIF(Lançamento!$A$2:$A$67,"="&amp;CONCATENATE(L$10,$A54),Lançamento!$D$2:$D$67))</f>
        <v>0</v>
      </c>
      <c r="M54" s="83">
        <f ca="1">IF(SUMIF(Lançamento!$A$2:$A$67,"="&amp;CONCATENATE(M$10,$A54),Lançamento!$D$2:$D$67) &lt;=0,IF(_xlfn.NUMBERVALUE(CONCATENATE(YEAR($A$10),MONTH($A$10)))&lt;_xlfn.NUMBERVALUE(CONCATENATE($B$2,MONTH(M$2))),VLOOKUP(Tabela6[[#This Row],[Coluna1]],Planodecontas[],3,FALSE),0), SUMIF(Lançamento!$A$2:$A$67,"="&amp;CONCATENATE(M$10,$A54),Lançamento!$D$2:$D$67))</f>
        <v>0</v>
      </c>
      <c r="N54" s="83">
        <f ca="1">IF(SUMIF(Lançamento!$A$2:$A$67,"="&amp;CONCATENATE(N$10,$A54),Lançamento!$D$2:$D$67) &lt;=0,IF(_xlfn.NUMBERVALUE(CONCATENATE(YEAR($A$10),MONTH($A$10)))&lt;_xlfn.NUMBERVALUE(CONCATENATE($B$2,MONTH(N$2))),VLOOKUP(Tabela6[[#This Row],[Coluna1]],Planodecontas[],3,FALSE),0), SUMIF(Lançamento!$A$2:$A$67,"="&amp;CONCATENATE(N$10,$A54),Lançamento!$D$2:$D$67))</f>
        <v>0</v>
      </c>
      <c r="O54" s="20">
        <f ca="1">SUM(Tabela6[[#This Row],[Coluna3]:[Coluna14]])</f>
        <v>0</v>
      </c>
    </row>
    <row r="55" spans="1:16" x14ac:dyDescent="0.25">
      <c r="A55" s="21" t="s">
        <v>56</v>
      </c>
      <c r="B55" s="22">
        <f>VLOOKUP(A55,Planodecontas[],3,FALSE)</f>
        <v>0</v>
      </c>
      <c r="C55" s="83">
        <f ca="1">IF(SUMIF(Lançamento!$A$2:$A$67,"="&amp;CONCATENATE(C$10,$A55),Lançamento!$D$2:$D$67) &lt;=0,IF(_xlfn.NUMBERVALUE(CONCATENATE(YEAR($A$10),MONTH($A$10)))&lt;_xlfn.NUMBERVALUE(CONCATENATE($B$2,MONTH(C$2))),VLOOKUP(Tabela6[[#This Row],[Coluna1]],Planodecontas[],3,FALSE),0), SUMIF(Lançamento!$A$2:$A$67,"="&amp;CONCATENATE(C$10,$A55),Lançamento!$D$2:$D$67))</f>
        <v>0</v>
      </c>
      <c r="D55" s="83">
        <f ca="1">IF(SUMIF(Lançamento!$A$2:$A$67,"="&amp;CONCATENATE(D$10,$A55),Lançamento!$D$2:$D$67) &lt;=0,IF(_xlfn.NUMBERVALUE(CONCATENATE(YEAR($A$10),MONTH($A$10)))&lt;_xlfn.NUMBERVALUE(CONCATENATE($B$2,MONTH(D$2))),VLOOKUP(Tabela6[[#This Row],[Coluna1]],Planodecontas[],3,FALSE),0), SUMIF(Lançamento!$A$2:$A$67,"="&amp;CONCATENATE(D$10,$A55),Lançamento!$D$2:$D$67))</f>
        <v>0</v>
      </c>
      <c r="E55" s="83">
        <f ca="1">IF(SUMIF(Lançamento!$A$2:$A$67,"="&amp;CONCATENATE(E$10,$A55),Lançamento!$D$2:$D$67) &lt;=0,IF(_xlfn.NUMBERVALUE(CONCATENATE(YEAR($A$10),MONTH($A$10)))&lt;_xlfn.NUMBERVALUE(CONCATENATE($B$2,MONTH(E$2))),VLOOKUP(Tabela6[[#This Row],[Coluna1]],Planodecontas[],3,FALSE),0), SUMIF(Lançamento!$A$2:$A$67,"="&amp;CONCATENATE(E$10,$A55),Lançamento!$D$2:$D$67))</f>
        <v>0</v>
      </c>
      <c r="F55" s="83">
        <f ca="1">IF(SUMIF(Lançamento!$A$2:$A$67,"="&amp;CONCATENATE(F$10,$A55),Lançamento!$D$2:$D$67) &lt;=0,IF(_xlfn.NUMBERVALUE(CONCATENATE(YEAR($A$10),MONTH($A$10)))&lt;_xlfn.NUMBERVALUE(CONCATENATE($B$2,MONTH(F$2))),VLOOKUP(Tabela6[[#This Row],[Coluna1]],Planodecontas[],3,FALSE),0), SUMIF(Lançamento!$A$2:$A$67,"="&amp;CONCATENATE(F$10,$A55),Lançamento!$D$2:$D$67))</f>
        <v>0</v>
      </c>
      <c r="G55" s="83">
        <f ca="1">IF(SUMIF(Lançamento!$A$2:$A$67,"="&amp;CONCATENATE(G$10,$A55),Lançamento!$D$2:$D$67) &lt;=0,IF(_xlfn.NUMBERVALUE(CONCATENATE(YEAR($A$10),MONTH($A$10)))&lt;_xlfn.NUMBERVALUE(CONCATENATE($B$2,MONTH(G$2))),VLOOKUP(Tabela6[[#This Row],[Coluna1]],Planodecontas[],3,FALSE),0), SUMIF(Lançamento!$A$2:$A$67,"="&amp;CONCATENATE(G$10,$A55),Lançamento!$D$2:$D$67))</f>
        <v>0</v>
      </c>
      <c r="H55" s="83">
        <f ca="1">IF(SUMIF(Lançamento!$A$2:$A$67,"="&amp;CONCATENATE(H$10,$A55),Lançamento!$D$2:$D$67) &lt;=0,IF(_xlfn.NUMBERVALUE(CONCATENATE(YEAR($A$10),MONTH($A$10)))&lt;_xlfn.NUMBERVALUE(CONCATENATE($B$2,MONTH(H$2))),VLOOKUP(Tabela6[[#This Row],[Coluna1]],Planodecontas[],3,FALSE),0), SUMIF(Lançamento!$A$2:$A$67,"="&amp;CONCATENATE(H$10,$A55),Lançamento!$D$2:$D$67))</f>
        <v>0</v>
      </c>
      <c r="I55" s="83">
        <f ca="1">IF(SUMIF(Lançamento!$A$2:$A$67,"="&amp;CONCATENATE(I$10,$A55),Lançamento!$D$2:$D$67) &lt;=0,IF(_xlfn.NUMBERVALUE(CONCATENATE(YEAR($A$10),MONTH($A$10)))&lt;_xlfn.NUMBERVALUE(CONCATENATE($B$2,MONTH(I$2))),VLOOKUP(Tabela6[[#This Row],[Coluna1]],Planodecontas[],3,FALSE),0), SUMIF(Lançamento!$A$2:$A$67,"="&amp;CONCATENATE(I$10,$A55),Lançamento!$D$2:$D$67))</f>
        <v>0</v>
      </c>
      <c r="J55" s="83">
        <f ca="1">IF(SUMIF(Lançamento!$A$2:$A$67,"="&amp;CONCATENATE(J$10,$A55),Lançamento!$D$2:$D$67) &lt;=0,IF(_xlfn.NUMBERVALUE(CONCATENATE(YEAR($A$10),MONTH($A$10)))&lt;_xlfn.NUMBERVALUE(CONCATENATE($B$2,MONTH(J$2))),VLOOKUP(Tabela6[[#This Row],[Coluna1]],Planodecontas[],3,FALSE),0), SUMIF(Lançamento!$A$2:$A$67,"="&amp;CONCATENATE(J$10,$A55),Lançamento!$D$2:$D$67))</f>
        <v>0</v>
      </c>
      <c r="K55" s="83">
        <f ca="1">IF(SUMIF(Lançamento!$A$2:$A$67,"="&amp;CONCATENATE(K$10,$A55),Lançamento!$D$2:$D$67) &lt;=0,IF(_xlfn.NUMBERVALUE(CONCATENATE(YEAR($A$10),MONTH($A$10)))&lt;_xlfn.NUMBERVALUE(CONCATENATE($B$2,MONTH(K$2))),VLOOKUP(Tabela6[[#This Row],[Coluna1]],Planodecontas[],3,FALSE),0), SUMIF(Lançamento!$A$2:$A$67,"="&amp;CONCATENATE(K$10,$A55),Lançamento!$D$2:$D$67))</f>
        <v>0</v>
      </c>
      <c r="L55" s="83">
        <f ca="1">IF(SUMIF(Lançamento!$A$2:$A$67,"="&amp;CONCATENATE(L$10,$A55),Lançamento!$D$2:$D$67) &lt;=0,IF(_xlfn.NUMBERVALUE(CONCATENATE(YEAR($A$10),MONTH($A$10)))&lt;_xlfn.NUMBERVALUE(CONCATENATE($B$2,MONTH(L$2))),VLOOKUP(Tabela6[[#This Row],[Coluna1]],Planodecontas[],3,FALSE),0), SUMIF(Lançamento!$A$2:$A$67,"="&amp;CONCATENATE(L$10,$A55),Lançamento!$D$2:$D$67))</f>
        <v>0</v>
      </c>
      <c r="M55" s="83">
        <f ca="1">IF(SUMIF(Lançamento!$A$2:$A$67,"="&amp;CONCATENATE(M$10,$A55),Lançamento!$D$2:$D$67) &lt;=0,IF(_xlfn.NUMBERVALUE(CONCATENATE(YEAR($A$10),MONTH($A$10)))&lt;_xlfn.NUMBERVALUE(CONCATENATE($B$2,MONTH(M$2))),VLOOKUP(Tabela6[[#This Row],[Coluna1]],Planodecontas[],3,FALSE),0), SUMIF(Lançamento!$A$2:$A$67,"="&amp;CONCATENATE(M$10,$A55),Lançamento!$D$2:$D$67))</f>
        <v>0</v>
      </c>
      <c r="N55" s="83">
        <f ca="1">IF(SUMIF(Lançamento!$A$2:$A$67,"="&amp;CONCATENATE(N$10,$A55),Lançamento!$D$2:$D$67) &lt;=0,IF(_xlfn.NUMBERVALUE(CONCATENATE(YEAR($A$10),MONTH($A$10)))&lt;_xlfn.NUMBERVALUE(CONCATENATE($B$2,MONTH(N$2))),VLOOKUP(Tabela6[[#This Row],[Coluna1]],Planodecontas[],3,FALSE),0), SUMIF(Lançamento!$A$2:$A$67,"="&amp;CONCATENATE(N$10,$A55),Lançamento!$D$2:$D$67))</f>
        <v>0</v>
      </c>
      <c r="O55" s="20">
        <f ca="1">SUM(Tabela6[[#This Row],[Coluna3]:[Coluna14]])</f>
        <v>0</v>
      </c>
    </row>
    <row r="56" spans="1:16" x14ac:dyDescent="0.25">
      <c r="A56" s="21" t="s">
        <v>98</v>
      </c>
      <c r="B56" s="22">
        <f>VLOOKUP(A56,Planodecontas[],3,FALSE)</f>
        <v>0</v>
      </c>
      <c r="C56" s="83">
        <f ca="1">IF(SUMIF(Lançamento!$A$2:$A$67,"="&amp;CONCATENATE(C$10,$A56),Lançamento!$D$2:$D$67) &lt;=0,IF(_xlfn.NUMBERVALUE(CONCATENATE(YEAR($A$10),MONTH($A$10)))&lt;_xlfn.NUMBERVALUE(CONCATENATE($B$2,MONTH(C$2))),VLOOKUP(Tabela6[[#This Row],[Coluna1]],Planodecontas[],3,FALSE),0), SUMIF(Lançamento!$A$2:$A$67,"="&amp;CONCATENATE(C$10,$A56),Lançamento!$D$2:$D$67))</f>
        <v>0</v>
      </c>
      <c r="D56" s="83">
        <f ca="1">IF(SUMIF(Lançamento!$A$2:$A$67,"="&amp;CONCATENATE(D$10,$A56),Lançamento!$D$2:$D$67) &lt;=0,IF(_xlfn.NUMBERVALUE(CONCATENATE(YEAR($A$10),MONTH($A$10)))&lt;_xlfn.NUMBERVALUE(CONCATENATE($B$2,MONTH(D$2))),VLOOKUP(Tabela6[[#This Row],[Coluna1]],Planodecontas[],3,FALSE),0), SUMIF(Lançamento!$A$2:$A$67,"="&amp;CONCATENATE(D$10,$A56),Lançamento!$D$2:$D$67))</f>
        <v>0</v>
      </c>
      <c r="E56" s="83">
        <f ca="1">IF(SUMIF(Lançamento!$A$2:$A$67,"="&amp;CONCATENATE(E$10,$A56),Lançamento!$D$2:$D$67) &lt;=0,IF(_xlfn.NUMBERVALUE(CONCATENATE(YEAR($A$10),MONTH($A$10)))&lt;_xlfn.NUMBERVALUE(CONCATENATE($B$2,MONTH(E$2))),VLOOKUP(Tabela6[[#This Row],[Coluna1]],Planodecontas[],3,FALSE),0), SUMIF(Lançamento!$A$2:$A$67,"="&amp;CONCATENATE(E$10,$A56),Lançamento!$D$2:$D$67))</f>
        <v>0</v>
      </c>
      <c r="F56" s="83">
        <f ca="1">IF(SUMIF(Lançamento!$A$2:$A$67,"="&amp;CONCATENATE(F$10,$A56),Lançamento!$D$2:$D$67) &lt;=0,IF(_xlfn.NUMBERVALUE(CONCATENATE(YEAR($A$10),MONTH($A$10)))&lt;_xlfn.NUMBERVALUE(CONCATENATE($B$2,MONTH(F$2))),VLOOKUP(Tabela6[[#This Row],[Coluna1]],Planodecontas[],3,FALSE),0), SUMIF(Lançamento!$A$2:$A$67,"="&amp;CONCATENATE(F$10,$A56),Lançamento!$D$2:$D$67))</f>
        <v>0</v>
      </c>
      <c r="G56" s="83">
        <f ca="1">IF(SUMIF(Lançamento!$A$2:$A$67,"="&amp;CONCATENATE(G$10,$A56),Lançamento!$D$2:$D$67) &lt;=0,IF(_xlfn.NUMBERVALUE(CONCATENATE(YEAR($A$10),MONTH($A$10)))&lt;_xlfn.NUMBERVALUE(CONCATENATE($B$2,MONTH(G$2))),VLOOKUP(Tabela6[[#This Row],[Coluna1]],Planodecontas[],3,FALSE),0), SUMIF(Lançamento!$A$2:$A$67,"="&amp;CONCATENATE(G$10,$A56),Lançamento!$D$2:$D$67))</f>
        <v>0</v>
      </c>
      <c r="H56" s="83">
        <f ca="1">IF(SUMIF(Lançamento!$A$2:$A$67,"="&amp;CONCATENATE(H$10,$A56),Lançamento!$D$2:$D$67) &lt;=0,IF(_xlfn.NUMBERVALUE(CONCATENATE(YEAR($A$10),MONTH($A$10)))&lt;_xlfn.NUMBERVALUE(CONCATENATE($B$2,MONTH(H$2))),VLOOKUP(Tabela6[[#This Row],[Coluna1]],Planodecontas[],3,FALSE),0), SUMIF(Lançamento!$A$2:$A$67,"="&amp;CONCATENATE(H$10,$A56),Lançamento!$D$2:$D$67))</f>
        <v>0</v>
      </c>
      <c r="I56" s="83">
        <f ca="1">IF(SUMIF(Lançamento!$A$2:$A$67,"="&amp;CONCATENATE(I$10,$A56),Lançamento!$D$2:$D$67) &lt;=0,IF(_xlfn.NUMBERVALUE(CONCATENATE(YEAR($A$10),MONTH($A$10)))&lt;_xlfn.NUMBERVALUE(CONCATENATE($B$2,MONTH(I$2))),VLOOKUP(Tabela6[[#This Row],[Coluna1]],Planodecontas[],3,FALSE),0), SUMIF(Lançamento!$A$2:$A$67,"="&amp;CONCATENATE(I$10,$A56),Lançamento!$D$2:$D$67))</f>
        <v>0</v>
      </c>
      <c r="J56" s="83">
        <f ca="1">IF(SUMIF(Lançamento!$A$2:$A$67,"="&amp;CONCATENATE(J$10,$A56),Lançamento!$D$2:$D$67) &lt;=0,IF(_xlfn.NUMBERVALUE(CONCATENATE(YEAR($A$10),MONTH($A$10)))&lt;_xlfn.NUMBERVALUE(CONCATENATE($B$2,MONTH(J$2))),VLOOKUP(Tabela6[[#This Row],[Coluna1]],Planodecontas[],3,FALSE),0), SUMIF(Lançamento!$A$2:$A$67,"="&amp;CONCATENATE(J$10,$A56),Lançamento!$D$2:$D$67))</f>
        <v>0</v>
      </c>
      <c r="K56" s="83">
        <f ca="1">IF(SUMIF(Lançamento!$A$2:$A$67,"="&amp;CONCATENATE(K$10,$A56),Lançamento!$D$2:$D$67) &lt;=0,IF(_xlfn.NUMBERVALUE(CONCATENATE(YEAR($A$10),MONTH($A$10)))&lt;_xlfn.NUMBERVALUE(CONCATENATE($B$2,MONTH(K$2))),VLOOKUP(Tabela6[[#This Row],[Coluna1]],Planodecontas[],3,FALSE),0), SUMIF(Lançamento!$A$2:$A$67,"="&amp;CONCATENATE(K$10,$A56),Lançamento!$D$2:$D$67))</f>
        <v>0</v>
      </c>
      <c r="L56" s="83">
        <f ca="1">IF(SUMIF(Lançamento!$A$2:$A$67,"="&amp;CONCATENATE(L$10,$A56),Lançamento!$D$2:$D$67) &lt;=0,IF(_xlfn.NUMBERVALUE(CONCATENATE(YEAR($A$10),MONTH($A$10)))&lt;_xlfn.NUMBERVALUE(CONCATENATE($B$2,MONTH(L$2))),VLOOKUP(Tabela6[[#This Row],[Coluna1]],Planodecontas[],3,FALSE),0), SUMIF(Lançamento!$A$2:$A$67,"="&amp;CONCATENATE(L$10,$A56),Lançamento!$D$2:$D$67))</f>
        <v>0</v>
      </c>
      <c r="M56" s="83">
        <f ca="1">IF(SUMIF(Lançamento!$A$2:$A$67,"="&amp;CONCATENATE(M$10,$A56),Lançamento!$D$2:$D$67) &lt;=0,IF(_xlfn.NUMBERVALUE(CONCATENATE(YEAR($A$10),MONTH($A$10)))&lt;_xlfn.NUMBERVALUE(CONCATENATE($B$2,MONTH(M$2))),VLOOKUP(Tabela6[[#This Row],[Coluna1]],Planodecontas[],3,FALSE),0), SUMIF(Lançamento!$A$2:$A$67,"="&amp;CONCATENATE(M$10,$A56),Lançamento!$D$2:$D$67))</f>
        <v>0</v>
      </c>
      <c r="N56" s="83">
        <f ca="1">IF(SUMIF(Lançamento!$A$2:$A$67,"="&amp;CONCATENATE(N$10,$A56),Lançamento!$D$2:$D$67) &lt;=0,IF(_xlfn.NUMBERVALUE(CONCATENATE(YEAR($A$10),MONTH($A$10)))&lt;_xlfn.NUMBERVALUE(CONCATENATE($B$2,MONTH(N$2))),VLOOKUP(Tabela6[[#This Row],[Coluna1]],Planodecontas[],3,FALSE),0), SUMIF(Lançamento!$A$2:$A$67,"="&amp;CONCATENATE(N$10,$A56),Lançamento!$D$2:$D$67))</f>
        <v>0</v>
      </c>
      <c r="O56" s="20">
        <f ca="1">SUM(Tabela6[[#This Row],[Coluna3]:[Coluna14]])</f>
        <v>0</v>
      </c>
    </row>
    <row r="57" spans="1:16" x14ac:dyDescent="0.25">
      <c r="A57" s="21" t="s">
        <v>58</v>
      </c>
      <c r="B57" s="22">
        <f>VLOOKUP(A57,Planodecontas[],3,FALSE)</f>
        <v>0</v>
      </c>
      <c r="C57" s="83">
        <f ca="1">IF(SUMIF(Lançamento!$A$2:$A$67,"="&amp;CONCATENATE(C$10,$A57),Lançamento!$D$2:$D$67) &lt;=0,IF(_xlfn.NUMBERVALUE(CONCATENATE(YEAR($A$10),MONTH($A$10)))&lt;_xlfn.NUMBERVALUE(CONCATENATE($B$2,MONTH(C$2))),VLOOKUP(Tabela6[[#This Row],[Coluna1]],Planodecontas[],3,FALSE),0), SUMIF(Lançamento!$A$2:$A$67,"="&amp;CONCATENATE(C$10,$A57),Lançamento!$D$2:$D$67))</f>
        <v>0</v>
      </c>
      <c r="D57" s="83">
        <f ca="1">IF(SUMIF(Lançamento!$A$2:$A$67,"="&amp;CONCATENATE(D$10,$A57),Lançamento!$D$2:$D$67) &lt;=0,IF(_xlfn.NUMBERVALUE(CONCATENATE(YEAR($A$10),MONTH($A$10)))&lt;_xlfn.NUMBERVALUE(CONCATENATE($B$2,MONTH(D$2))),VLOOKUP(Tabela6[[#This Row],[Coluna1]],Planodecontas[],3,FALSE),0), SUMIF(Lançamento!$A$2:$A$67,"="&amp;CONCATENATE(D$10,$A57),Lançamento!$D$2:$D$67))</f>
        <v>0</v>
      </c>
      <c r="E57" s="83">
        <f ca="1">IF(SUMIF(Lançamento!$A$2:$A$67,"="&amp;CONCATENATE(E$10,$A57),Lançamento!$D$2:$D$67) &lt;=0,IF(_xlfn.NUMBERVALUE(CONCATENATE(YEAR($A$10),MONTH($A$10)))&lt;_xlfn.NUMBERVALUE(CONCATENATE($B$2,MONTH(E$2))),VLOOKUP(Tabela6[[#This Row],[Coluna1]],Planodecontas[],3,FALSE),0), SUMIF(Lançamento!$A$2:$A$67,"="&amp;CONCATENATE(E$10,$A57),Lançamento!$D$2:$D$67))</f>
        <v>0</v>
      </c>
      <c r="F57" s="83">
        <f ca="1">IF(SUMIF(Lançamento!$A$2:$A$67,"="&amp;CONCATENATE(F$10,$A57),Lançamento!$D$2:$D$67) &lt;=0,IF(_xlfn.NUMBERVALUE(CONCATENATE(YEAR($A$10),MONTH($A$10)))&lt;_xlfn.NUMBERVALUE(CONCATENATE($B$2,MONTH(F$2))),VLOOKUP(Tabela6[[#This Row],[Coluna1]],Planodecontas[],3,FALSE),0), SUMIF(Lançamento!$A$2:$A$67,"="&amp;CONCATENATE(F$10,$A57),Lançamento!$D$2:$D$67))</f>
        <v>0</v>
      </c>
      <c r="G57" s="83">
        <f ca="1">IF(SUMIF(Lançamento!$A$2:$A$67,"="&amp;CONCATENATE(G$10,$A57),Lançamento!$D$2:$D$67) &lt;=0,IF(_xlfn.NUMBERVALUE(CONCATENATE(YEAR($A$10),MONTH($A$10)))&lt;_xlfn.NUMBERVALUE(CONCATENATE($B$2,MONTH(G$2))),VLOOKUP(Tabela6[[#This Row],[Coluna1]],Planodecontas[],3,FALSE),0), SUMIF(Lançamento!$A$2:$A$67,"="&amp;CONCATENATE(G$10,$A57),Lançamento!$D$2:$D$67))</f>
        <v>0</v>
      </c>
      <c r="H57" s="83">
        <f ca="1">IF(SUMIF(Lançamento!$A$2:$A$67,"="&amp;CONCATENATE(H$10,$A57),Lançamento!$D$2:$D$67) &lt;=0,IF(_xlfn.NUMBERVALUE(CONCATENATE(YEAR($A$10),MONTH($A$10)))&lt;_xlfn.NUMBERVALUE(CONCATENATE($B$2,MONTH(H$2))),VLOOKUP(Tabela6[[#This Row],[Coluna1]],Planodecontas[],3,FALSE),0), SUMIF(Lançamento!$A$2:$A$67,"="&amp;CONCATENATE(H$10,$A57),Lançamento!$D$2:$D$67))</f>
        <v>0</v>
      </c>
      <c r="I57" s="83">
        <f ca="1">IF(SUMIF(Lançamento!$A$2:$A$67,"="&amp;CONCATENATE(I$10,$A57),Lançamento!$D$2:$D$67) &lt;=0,IF(_xlfn.NUMBERVALUE(CONCATENATE(YEAR($A$10),MONTH($A$10)))&lt;_xlfn.NUMBERVALUE(CONCATENATE($B$2,MONTH(I$2))),VLOOKUP(Tabela6[[#This Row],[Coluna1]],Planodecontas[],3,FALSE),0), SUMIF(Lançamento!$A$2:$A$67,"="&amp;CONCATENATE(I$10,$A57),Lançamento!$D$2:$D$67))</f>
        <v>0</v>
      </c>
      <c r="J57" s="83">
        <f ca="1">IF(SUMIF(Lançamento!$A$2:$A$67,"="&amp;CONCATENATE(J$10,$A57),Lançamento!$D$2:$D$67) &lt;=0,IF(_xlfn.NUMBERVALUE(CONCATENATE(YEAR($A$10),MONTH($A$10)))&lt;_xlfn.NUMBERVALUE(CONCATENATE($B$2,MONTH(J$2))),VLOOKUP(Tabela6[[#This Row],[Coluna1]],Planodecontas[],3,FALSE),0), SUMIF(Lançamento!$A$2:$A$67,"="&amp;CONCATENATE(J$10,$A57),Lançamento!$D$2:$D$67))</f>
        <v>0</v>
      </c>
      <c r="K57" s="83">
        <f ca="1">IF(SUMIF(Lançamento!$A$2:$A$67,"="&amp;CONCATENATE(K$10,$A57),Lançamento!$D$2:$D$67) &lt;=0,IF(_xlfn.NUMBERVALUE(CONCATENATE(YEAR($A$10),MONTH($A$10)))&lt;_xlfn.NUMBERVALUE(CONCATENATE($B$2,MONTH(K$2))),VLOOKUP(Tabela6[[#This Row],[Coluna1]],Planodecontas[],3,FALSE),0), SUMIF(Lançamento!$A$2:$A$67,"="&amp;CONCATENATE(K$10,$A57),Lançamento!$D$2:$D$67))</f>
        <v>0</v>
      </c>
      <c r="L57" s="83">
        <f ca="1">IF(SUMIF(Lançamento!$A$2:$A$67,"="&amp;CONCATENATE(L$10,$A57),Lançamento!$D$2:$D$67) &lt;=0,IF(_xlfn.NUMBERVALUE(CONCATENATE(YEAR($A$10),MONTH($A$10)))&lt;_xlfn.NUMBERVALUE(CONCATENATE($B$2,MONTH(L$2))),VLOOKUP(Tabela6[[#This Row],[Coluna1]],Planodecontas[],3,FALSE),0), SUMIF(Lançamento!$A$2:$A$67,"="&amp;CONCATENATE(L$10,$A57),Lançamento!$D$2:$D$67))</f>
        <v>0</v>
      </c>
      <c r="M57" s="83">
        <f ca="1">IF(SUMIF(Lançamento!$A$2:$A$67,"="&amp;CONCATENATE(M$10,$A57),Lançamento!$D$2:$D$67) &lt;=0,IF(_xlfn.NUMBERVALUE(CONCATENATE(YEAR($A$10),MONTH($A$10)))&lt;_xlfn.NUMBERVALUE(CONCATENATE($B$2,MONTH(M$2))),VLOOKUP(Tabela6[[#This Row],[Coluna1]],Planodecontas[],3,FALSE),0), SUMIF(Lançamento!$A$2:$A$67,"="&amp;CONCATENATE(M$10,$A57),Lançamento!$D$2:$D$67))</f>
        <v>0</v>
      </c>
      <c r="N57" s="83">
        <f ca="1">IF(SUMIF(Lançamento!$A$2:$A$67,"="&amp;CONCATENATE(N$10,$A57),Lançamento!$D$2:$D$67) &lt;=0,IF(_xlfn.NUMBERVALUE(CONCATENATE(YEAR($A$10),MONTH($A$10)))&lt;_xlfn.NUMBERVALUE(CONCATENATE($B$2,MONTH(N$2))),VLOOKUP(Tabela6[[#This Row],[Coluna1]],Planodecontas[],3,FALSE),0), SUMIF(Lançamento!$A$2:$A$67,"="&amp;CONCATENATE(N$10,$A57),Lançamento!$D$2:$D$67))</f>
        <v>0</v>
      </c>
      <c r="O57" s="20">
        <f ca="1">SUM(Tabela6[[#This Row],[Coluna3]:[Coluna14]])</f>
        <v>0</v>
      </c>
    </row>
    <row r="58" spans="1:16" x14ac:dyDescent="0.25">
      <c r="A58" s="21" t="s">
        <v>59</v>
      </c>
      <c r="B58" s="22">
        <f>VLOOKUP(A58,Planodecontas[],3,FALSE)</f>
        <v>0</v>
      </c>
      <c r="C58" s="83">
        <f ca="1">IF(SUMIF(Lançamento!$A$2:$A$67,"="&amp;CONCATENATE(C$10,$A58),Lançamento!$D$2:$D$67) &lt;=0,IF(_xlfn.NUMBERVALUE(CONCATENATE(YEAR($A$10),MONTH($A$10)))&lt;_xlfn.NUMBERVALUE(CONCATENATE($B$2,MONTH(C$2))),VLOOKUP(Tabela6[[#This Row],[Coluna1]],Planodecontas[],3,FALSE),0), SUMIF(Lançamento!$A$2:$A$67,"="&amp;CONCATENATE(C$10,$A58),Lançamento!$D$2:$D$67))</f>
        <v>0</v>
      </c>
      <c r="D58" s="83">
        <f ca="1">IF(SUMIF(Lançamento!$A$2:$A$67,"="&amp;CONCATENATE(D$10,$A58),Lançamento!$D$2:$D$67) &lt;=0,IF(_xlfn.NUMBERVALUE(CONCATENATE(YEAR($A$10),MONTH($A$10)))&lt;_xlfn.NUMBERVALUE(CONCATENATE($B$2,MONTH(D$2))),VLOOKUP(Tabela6[[#This Row],[Coluna1]],Planodecontas[],3,FALSE),0), SUMIF(Lançamento!$A$2:$A$67,"="&amp;CONCATENATE(D$10,$A58),Lançamento!$D$2:$D$67))</f>
        <v>0</v>
      </c>
      <c r="E58" s="83">
        <f ca="1">IF(SUMIF(Lançamento!$A$2:$A$67,"="&amp;CONCATENATE(E$10,$A58),Lançamento!$D$2:$D$67) &lt;=0,IF(_xlfn.NUMBERVALUE(CONCATENATE(YEAR($A$10),MONTH($A$10)))&lt;_xlfn.NUMBERVALUE(CONCATENATE($B$2,MONTH(E$2))),VLOOKUP(Tabela6[[#This Row],[Coluna1]],Planodecontas[],3,FALSE),0), SUMIF(Lançamento!$A$2:$A$67,"="&amp;CONCATENATE(E$10,$A58),Lançamento!$D$2:$D$67))</f>
        <v>0</v>
      </c>
      <c r="F58" s="83">
        <f ca="1">IF(SUMIF(Lançamento!$A$2:$A$67,"="&amp;CONCATENATE(F$10,$A58),Lançamento!$D$2:$D$67) &lt;=0,IF(_xlfn.NUMBERVALUE(CONCATENATE(YEAR($A$10),MONTH($A$10)))&lt;_xlfn.NUMBERVALUE(CONCATENATE($B$2,MONTH(F$2))),VLOOKUP(Tabela6[[#This Row],[Coluna1]],Planodecontas[],3,FALSE),0), SUMIF(Lançamento!$A$2:$A$67,"="&amp;CONCATENATE(F$10,$A58),Lançamento!$D$2:$D$67))</f>
        <v>0</v>
      </c>
      <c r="G58" s="83">
        <f ca="1">IF(SUMIF(Lançamento!$A$2:$A$67,"="&amp;CONCATENATE(G$10,$A58),Lançamento!$D$2:$D$67) &lt;=0,IF(_xlfn.NUMBERVALUE(CONCATENATE(YEAR($A$10),MONTH($A$10)))&lt;_xlfn.NUMBERVALUE(CONCATENATE($B$2,MONTH(G$2))),VLOOKUP(Tabela6[[#This Row],[Coluna1]],Planodecontas[],3,FALSE),0), SUMIF(Lançamento!$A$2:$A$67,"="&amp;CONCATENATE(G$10,$A58),Lançamento!$D$2:$D$67))</f>
        <v>0</v>
      </c>
      <c r="H58" s="83">
        <f ca="1">IF(SUMIF(Lançamento!$A$2:$A$67,"="&amp;CONCATENATE(H$10,$A58),Lançamento!$D$2:$D$67) &lt;=0,IF(_xlfn.NUMBERVALUE(CONCATENATE(YEAR($A$10),MONTH($A$10)))&lt;_xlfn.NUMBERVALUE(CONCATENATE($B$2,MONTH(H$2))),VLOOKUP(Tabela6[[#This Row],[Coluna1]],Planodecontas[],3,FALSE),0), SUMIF(Lançamento!$A$2:$A$67,"="&amp;CONCATENATE(H$10,$A58),Lançamento!$D$2:$D$67))</f>
        <v>0</v>
      </c>
      <c r="I58" s="83">
        <f ca="1">IF(SUMIF(Lançamento!$A$2:$A$67,"="&amp;CONCATENATE(I$10,$A58),Lançamento!$D$2:$D$67) &lt;=0,IF(_xlfn.NUMBERVALUE(CONCATENATE(YEAR($A$10),MONTH($A$10)))&lt;_xlfn.NUMBERVALUE(CONCATENATE($B$2,MONTH(I$2))),VLOOKUP(Tabela6[[#This Row],[Coluna1]],Planodecontas[],3,FALSE),0), SUMIF(Lançamento!$A$2:$A$67,"="&amp;CONCATENATE(I$10,$A58),Lançamento!$D$2:$D$67))</f>
        <v>0</v>
      </c>
      <c r="J58" s="83">
        <f ca="1">IF(SUMIF(Lançamento!$A$2:$A$67,"="&amp;CONCATENATE(J$10,$A58),Lançamento!$D$2:$D$67) &lt;=0,IF(_xlfn.NUMBERVALUE(CONCATENATE(YEAR($A$10),MONTH($A$10)))&lt;_xlfn.NUMBERVALUE(CONCATENATE($B$2,MONTH(J$2))),VLOOKUP(Tabela6[[#This Row],[Coluna1]],Planodecontas[],3,FALSE),0), SUMIF(Lançamento!$A$2:$A$67,"="&amp;CONCATENATE(J$10,$A58),Lançamento!$D$2:$D$67))</f>
        <v>0</v>
      </c>
      <c r="K58" s="83">
        <f ca="1">IF(SUMIF(Lançamento!$A$2:$A$67,"="&amp;CONCATENATE(K$10,$A58),Lançamento!$D$2:$D$67) &lt;=0,IF(_xlfn.NUMBERVALUE(CONCATENATE(YEAR($A$10),MONTH($A$10)))&lt;_xlfn.NUMBERVALUE(CONCATENATE($B$2,MONTH(K$2))),VLOOKUP(Tabela6[[#This Row],[Coluna1]],Planodecontas[],3,FALSE),0), SUMIF(Lançamento!$A$2:$A$67,"="&amp;CONCATENATE(K$10,$A58),Lançamento!$D$2:$D$67))</f>
        <v>0</v>
      </c>
      <c r="L58" s="83">
        <f ca="1">IF(SUMIF(Lançamento!$A$2:$A$67,"="&amp;CONCATENATE(L$10,$A58),Lançamento!$D$2:$D$67) &lt;=0,IF(_xlfn.NUMBERVALUE(CONCATENATE(YEAR($A$10),MONTH($A$10)))&lt;_xlfn.NUMBERVALUE(CONCATENATE($B$2,MONTH(L$2))),VLOOKUP(Tabela6[[#This Row],[Coluna1]],Planodecontas[],3,FALSE),0), SUMIF(Lançamento!$A$2:$A$67,"="&amp;CONCATENATE(L$10,$A58),Lançamento!$D$2:$D$67))</f>
        <v>0</v>
      </c>
      <c r="M58" s="83">
        <f ca="1">IF(SUMIF(Lançamento!$A$2:$A$67,"="&amp;CONCATENATE(M$10,$A58),Lançamento!$D$2:$D$67) &lt;=0,IF(_xlfn.NUMBERVALUE(CONCATENATE(YEAR($A$10),MONTH($A$10)))&lt;_xlfn.NUMBERVALUE(CONCATENATE($B$2,MONTH(M$2))),VLOOKUP(Tabela6[[#This Row],[Coluna1]],Planodecontas[],3,FALSE),0), SUMIF(Lançamento!$A$2:$A$67,"="&amp;CONCATENATE(M$10,$A58),Lançamento!$D$2:$D$67))</f>
        <v>0</v>
      </c>
      <c r="N58" s="83">
        <f ca="1">IF(SUMIF(Lançamento!$A$2:$A$67,"="&amp;CONCATENATE(N$10,$A58),Lançamento!$D$2:$D$67) &lt;=0,IF(_xlfn.NUMBERVALUE(CONCATENATE(YEAR($A$10),MONTH($A$10)))&lt;_xlfn.NUMBERVALUE(CONCATENATE($B$2,MONTH(N$2))),VLOOKUP(Tabela6[[#This Row],[Coluna1]],Planodecontas[],3,FALSE),0), SUMIF(Lançamento!$A$2:$A$67,"="&amp;CONCATENATE(N$10,$A58),Lançamento!$D$2:$D$67))</f>
        <v>0</v>
      </c>
      <c r="O58" s="20">
        <f ca="1">SUM(Tabela6[[#This Row],[Coluna3]:[Coluna14]])</f>
        <v>0</v>
      </c>
    </row>
    <row r="59" spans="1:16" x14ac:dyDescent="0.25">
      <c r="A59" s="21" t="s">
        <v>60</v>
      </c>
      <c r="B59" s="22">
        <f>VLOOKUP(A59,Planodecontas[],3,FALSE)</f>
        <v>0</v>
      </c>
      <c r="C59" s="83">
        <f ca="1">IF(SUMIF(Lançamento!$A$2:$A$67,"="&amp;CONCATENATE(C$10,$A59),Lançamento!$D$2:$D$67) &lt;=0,IF(_xlfn.NUMBERVALUE(CONCATENATE(YEAR($A$10),MONTH($A$10)))&lt;_xlfn.NUMBERVALUE(CONCATENATE($B$2,MONTH(C$2))),VLOOKUP(Tabela6[[#This Row],[Coluna1]],Planodecontas[],3,FALSE),0), SUMIF(Lançamento!$A$2:$A$67,"="&amp;CONCATENATE(C$10,$A59),Lançamento!$D$2:$D$67))</f>
        <v>0</v>
      </c>
      <c r="D59" s="83">
        <f ca="1">IF(SUMIF(Lançamento!$A$2:$A$67,"="&amp;CONCATENATE(D$10,$A59),Lançamento!$D$2:$D$67) &lt;=0,IF(_xlfn.NUMBERVALUE(CONCATENATE(YEAR($A$10),MONTH($A$10)))&lt;_xlfn.NUMBERVALUE(CONCATENATE($B$2,MONTH(D$2))),VLOOKUP(Tabela6[[#This Row],[Coluna1]],Planodecontas[],3,FALSE),0), SUMIF(Lançamento!$A$2:$A$67,"="&amp;CONCATENATE(D$10,$A59),Lançamento!$D$2:$D$67))</f>
        <v>0</v>
      </c>
      <c r="E59" s="83">
        <f ca="1">IF(SUMIF(Lançamento!$A$2:$A$67,"="&amp;CONCATENATE(E$10,$A59),Lançamento!$D$2:$D$67) &lt;=0,IF(_xlfn.NUMBERVALUE(CONCATENATE(YEAR($A$10),MONTH($A$10)))&lt;_xlfn.NUMBERVALUE(CONCATENATE($B$2,MONTH(E$2))),VLOOKUP(Tabela6[[#This Row],[Coluna1]],Planodecontas[],3,FALSE),0), SUMIF(Lançamento!$A$2:$A$67,"="&amp;CONCATENATE(E$10,$A59),Lançamento!$D$2:$D$67))</f>
        <v>0</v>
      </c>
      <c r="F59" s="83">
        <f ca="1">IF(SUMIF(Lançamento!$A$2:$A$67,"="&amp;CONCATENATE(F$10,$A59),Lançamento!$D$2:$D$67) &lt;=0,IF(_xlfn.NUMBERVALUE(CONCATENATE(YEAR($A$10),MONTH($A$10)))&lt;_xlfn.NUMBERVALUE(CONCATENATE($B$2,MONTH(F$2))),VLOOKUP(Tabela6[[#This Row],[Coluna1]],Planodecontas[],3,FALSE),0), SUMIF(Lançamento!$A$2:$A$67,"="&amp;CONCATENATE(F$10,$A59),Lançamento!$D$2:$D$67))</f>
        <v>0</v>
      </c>
      <c r="G59" s="83">
        <f ca="1">IF(SUMIF(Lançamento!$A$2:$A$67,"="&amp;CONCATENATE(G$10,$A59),Lançamento!$D$2:$D$67) &lt;=0,IF(_xlfn.NUMBERVALUE(CONCATENATE(YEAR($A$10),MONTH($A$10)))&lt;_xlfn.NUMBERVALUE(CONCATENATE($B$2,MONTH(G$2))),VLOOKUP(Tabela6[[#This Row],[Coluna1]],Planodecontas[],3,FALSE),0), SUMIF(Lançamento!$A$2:$A$67,"="&amp;CONCATENATE(G$10,$A59),Lançamento!$D$2:$D$67))</f>
        <v>0</v>
      </c>
      <c r="H59" s="83">
        <f ca="1">IF(SUMIF(Lançamento!$A$2:$A$67,"="&amp;CONCATENATE(H$10,$A59),Lançamento!$D$2:$D$67) &lt;=0,IF(_xlfn.NUMBERVALUE(CONCATENATE(YEAR($A$10),MONTH($A$10)))&lt;_xlfn.NUMBERVALUE(CONCATENATE($B$2,MONTH(H$2))),VLOOKUP(Tabela6[[#This Row],[Coluna1]],Planodecontas[],3,FALSE),0), SUMIF(Lançamento!$A$2:$A$67,"="&amp;CONCATENATE(H$10,$A59),Lançamento!$D$2:$D$67))</f>
        <v>0</v>
      </c>
      <c r="I59" s="83">
        <f ca="1">IF(SUMIF(Lançamento!$A$2:$A$67,"="&amp;CONCATENATE(I$10,$A59),Lançamento!$D$2:$D$67) &lt;=0,IF(_xlfn.NUMBERVALUE(CONCATENATE(YEAR($A$10),MONTH($A$10)))&lt;_xlfn.NUMBERVALUE(CONCATENATE($B$2,MONTH(I$2))),VLOOKUP(Tabela6[[#This Row],[Coluna1]],Planodecontas[],3,FALSE),0), SUMIF(Lançamento!$A$2:$A$67,"="&amp;CONCATENATE(I$10,$A59),Lançamento!$D$2:$D$67))</f>
        <v>0</v>
      </c>
      <c r="J59" s="83">
        <f ca="1">IF(SUMIF(Lançamento!$A$2:$A$67,"="&amp;CONCATENATE(J$10,$A59),Lançamento!$D$2:$D$67) &lt;=0,IF(_xlfn.NUMBERVALUE(CONCATENATE(YEAR($A$10),MONTH($A$10)))&lt;_xlfn.NUMBERVALUE(CONCATENATE($B$2,MONTH(J$2))),VLOOKUP(Tabela6[[#This Row],[Coluna1]],Planodecontas[],3,FALSE),0), SUMIF(Lançamento!$A$2:$A$67,"="&amp;CONCATENATE(J$10,$A59),Lançamento!$D$2:$D$67))</f>
        <v>0</v>
      </c>
      <c r="K59" s="83">
        <f ca="1">IF(SUMIF(Lançamento!$A$2:$A$67,"="&amp;CONCATENATE(K$10,$A59),Lançamento!$D$2:$D$67) &lt;=0,IF(_xlfn.NUMBERVALUE(CONCATENATE(YEAR($A$10),MONTH($A$10)))&lt;_xlfn.NUMBERVALUE(CONCATENATE($B$2,MONTH(K$2))),VLOOKUP(Tabela6[[#This Row],[Coluna1]],Planodecontas[],3,FALSE),0), SUMIF(Lançamento!$A$2:$A$67,"="&amp;CONCATENATE(K$10,$A59),Lançamento!$D$2:$D$67))</f>
        <v>0</v>
      </c>
      <c r="L59" s="83">
        <f ca="1">IF(SUMIF(Lançamento!$A$2:$A$67,"="&amp;CONCATENATE(L$10,$A59),Lançamento!$D$2:$D$67) &lt;=0,IF(_xlfn.NUMBERVALUE(CONCATENATE(YEAR($A$10),MONTH($A$10)))&lt;_xlfn.NUMBERVALUE(CONCATENATE($B$2,MONTH(L$2))),VLOOKUP(Tabela6[[#This Row],[Coluna1]],Planodecontas[],3,FALSE),0), SUMIF(Lançamento!$A$2:$A$67,"="&amp;CONCATENATE(L$10,$A59),Lançamento!$D$2:$D$67))</f>
        <v>0</v>
      </c>
      <c r="M59" s="83">
        <f ca="1">IF(SUMIF(Lançamento!$A$2:$A$67,"="&amp;CONCATENATE(M$10,$A59),Lançamento!$D$2:$D$67) &lt;=0,IF(_xlfn.NUMBERVALUE(CONCATENATE(YEAR($A$10),MONTH($A$10)))&lt;_xlfn.NUMBERVALUE(CONCATENATE($B$2,MONTH(M$2))),VLOOKUP(Tabela6[[#This Row],[Coluna1]],Planodecontas[],3,FALSE),0), SUMIF(Lançamento!$A$2:$A$67,"="&amp;CONCATENATE(M$10,$A59),Lançamento!$D$2:$D$67))</f>
        <v>0</v>
      </c>
      <c r="N59" s="83">
        <f ca="1">IF(SUMIF(Lançamento!$A$2:$A$67,"="&amp;CONCATENATE(N$10,$A59),Lançamento!$D$2:$D$67) &lt;=0,IF(_xlfn.NUMBERVALUE(CONCATENATE(YEAR($A$10),MONTH($A$10)))&lt;_xlfn.NUMBERVALUE(CONCATENATE($B$2,MONTH(N$2))),VLOOKUP(Tabela6[[#This Row],[Coluna1]],Planodecontas[],3,FALSE),0), SUMIF(Lançamento!$A$2:$A$67,"="&amp;CONCATENATE(N$10,$A59),Lançamento!$D$2:$D$67))</f>
        <v>0</v>
      </c>
      <c r="O59" s="20">
        <f ca="1">SUM(Tabela6[[#This Row],[Coluna3]:[Coluna14]])</f>
        <v>0</v>
      </c>
    </row>
    <row r="60" spans="1:16" x14ac:dyDescent="0.25">
      <c r="A60" s="21" t="s">
        <v>61</v>
      </c>
      <c r="B60" s="22">
        <f>VLOOKUP(A60,Planodecontas[],3,FALSE)</f>
        <v>0</v>
      </c>
      <c r="C60" s="83">
        <f ca="1">IF(SUMIF(Lançamento!$A$2:$A$67,"="&amp;CONCATENATE(C$10,$A60),Lançamento!$D$2:$D$67) &lt;=0,IF(_xlfn.NUMBERVALUE(CONCATENATE(YEAR($A$10),MONTH($A$10)))&lt;_xlfn.NUMBERVALUE(CONCATENATE($B$2,MONTH(C$2))),VLOOKUP(Tabela6[[#This Row],[Coluna1]],Planodecontas[],3,FALSE),0), SUMIF(Lançamento!$A$2:$A$67,"="&amp;CONCATENATE(C$10,$A60),Lançamento!$D$2:$D$67))</f>
        <v>0</v>
      </c>
      <c r="D60" s="83">
        <f ca="1">IF(SUMIF(Lançamento!$A$2:$A$67,"="&amp;CONCATENATE(D$10,$A60),Lançamento!$D$2:$D$67) &lt;=0,IF(_xlfn.NUMBERVALUE(CONCATENATE(YEAR($A$10),MONTH($A$10)))&lt;_xlfn.NUMBERVALUE(CONCATENATE($B$2,MONTH(D$2))),VLOOKUP(Tabela6[[#This Row],[Coluna1]],Planodecontas[],3,FALSE),0), SUMIF(Lançamento!$A$2:$A$67,"="&amp;CONCATENATE(D$10,$A60),Lançamento!$D$2:$D$67))</f>
        <v>0</v>
      </c>
      <c r="E60" s="83">
        <f ca="1">IF(SUMIF(Lançamento!$A$2:$A$67,"="&amp;CONCATENATE(E$10,$A60),Lançamento!$D$2:$D$67) &lt;=0,IF(_xlfn.NUMBERVALUE(CONCATENATE(YEAR($A$10),MONTH($A$10)))&lt;_xlfn.NUMBERVALUE(CONCATENATE($B$2,MONTH(E$2))),VLOOKUP(Tabela6[[#This Row],[Coluna1]],Planodecontas[],3,FALSE),0), SUMIF(Lançamento!$A$2:$A$67,"="&amp;CONCATENATE(E$10,$A60),Lançamento!$D$2:$D$67))</f>
        <v>0</v>
      </c>
      <c r="F60" s="83">
        <f ca="1">IF(SUMIF(Lançamento!$A$2:$A$67,"="&amp;CONCATENATE(F$10,$A60),Lançamento!$D$2:$D$67) &lt;=0,IF(_xlfn.NUMBERVALUE(CONCATENATE(YEAR($A$10),MONTH($A$10)))&lt;_xlfn.NUMBERVALUE(CONCATENATE($B$2,MONTH(F$2))),VLOOKUP(Tabela6[[#This Row],[Coluna1]],Planodecontas[],3,FALSE),0), SUMIF(Lançamento!$A$2:$A$67,"="&amp;CONCATENATE(F$10,$A60),Lançamento!$D$2:$D$67))</f>
        <v>0</v>
      </c>
      <c r="G60" s="83">
        <f ca="1">IF(SUMIF(Lançamento!$A$2:$A$67,"="&amp;CONCATENATE(G$10,$A60),Lançamento!$D$2:$D$67) &lt;=0,IF(_xlfn.NUMBERVALUE(CONCATENATE(YEAR($A$10),MONTH($A$10)))&lt;_xlfn.NUMBERVALUE(CONCATENATE($B$2,MONTH(G$2))),VLOOKUP(Tabela6[[#This Row],[Coluna1]],Planodecontas[],3,FALSE),0), SUMIF(Lançamento!$A$2:$A$67,"="&amp;CONCATENATE(G$10,$A60),Lançamento!$D$2:$D$67))</f>
        <v>0</v>
      </c>
      <c r="H60" s="83">
        <f ca="1">IF(SUMIF(Lançamento!$A$2:$A$67,"="&amp;CONCATENATE(H$10,$A60),Lançamento!$D$2:$D$67) &lt;=0,IF(_xlfn.NUMBERVALUE(CONCATENATE(YEAR($A$10),MONTH($A$10)))&lt;_xlfn.NUMBERVALUE(CONCATENATE($B$2,MONTH(H$2))),VLOOKUP(Tabela6[[#This Row],[Coluna1]],Planodecontas[],3,FALSE),0), SUMIF(Lançamento!$A$2:$A$67,"="&amp;CONCATENATE(H$10,$A60),Lançamento!$D$2:$D$67))</f>
        <v>0</v>
      </c>
      <c r="I60" s="83">
        <f ca="1">IF(SUMIF(Lançamento!$A$2:$A$67,"="&amp;CONCATENATE(I$10,$A60),Lançamento!$D$2:$D$67) &lt;=0,IF(_xlfn.NUMBERVALUE(CONCATENATE(YEAR($A$10),MONTH($A$10)))&lt;_xlfn.NUMBERVALUE(CONCATENATE($B$2,MONTH(I$2))),VLOOKUP(Tabela6[[#This Row],[Coluna1]],Planodecontas[],3,FALSE),0), SUMIF(Lançamento!$A$2:$A$67,"="&amp;CONCATENATE(I$10,$A60),Lançamento!$D$2:$D$67))</f>
        <v>0</v>
      </c>
      <c r="J60" s="83">
        <f ca="1">IF(SUMIF(Lançamento!$A$2:$A$67,"="&amp;CONCATENATE(J$10,$A60),Lançamento!$D$2:$D$67) &lt;=0,IF(_xlfn.NUMBERVALUE(CONCATENATE(YEAR($A$10),MONTH($A$10)))&lt;_xlfn.NUMBERVALUE(CONCATENATE($B$2,MONTH(J$2))),VLOOKUP(Tabela6[[#This Row],[Coluna1]],Planodecontas[],3,FALSE),0), SUMIF(Lançamento!$A$2:$A$67,"="&amp;CONCATENATE(J$10,$A60),Lançamento!$D$2:$D$67))</f>
        <v>0</v>
      </c>
      <c r="K60" s="83">
        <f ca="1">IF(SUMIF(Lançamento!$A$2:$A$67,"="&amp;CONCATENATE(K$10,$A60),Lançamento!$D$2:$D$67) &lt;=0,IF(_xlfn.NUMBERVALUE(CONCATENATE(YEAR($A$10),MONTH($A$10)))&lt;_xlfn.NUMBERVALUE(CONCATENATE($B$2,MONTH(K$2))),VLOOKUP(Tabela6[[#This Row],[Coluna1]],Planodecontas[],3,FALSE),0), SUMIF(Lançamento!$A$2:$A$67,"="&amp;CONCATENATE(K$10,$A60),Lançamento!$D$2:$D$67))</f>
        <v>0</v>
      </c>
      <c r="L60" s="83">
        <f ca="1">IF(SUMIF(Lançamento!$A$2:$A$67,"="&amp;CONCATENATE(L$10,$A60),Lançamento!$D$2:$D$67) &lt;=0,IF(_xlfn.NUMBERVALUE(CONCATENATE(YEAR($A$10),MONTH($A$10)))&lt;_xlfn.NUMBERVALUE(CONCATENATE($B$2,MONTH(L$2))),VLOOKUP(Tabela6[[#This Row],[Coluna1]],Planodecontas[],3,FALSE),0), SUMIF(Lançamento!$A$2:$A$67,"="&amp;CONCATENATE(L$10,$A60),Lançamento!$D$2:$D$67))</f>
        <v>0</v>
      </c>
      <c r="M60" s="83">
        <f ca="1">IF(SUMIF(Lançamento!$A$2:$A$67,"="&amp;CONCATENATE(M$10,$A60),Lançamento!$D$2:$D$67) &lt;=0,IF(_xlfn.NUMBERVALUE(CONCATENATE(YEAR($A$10),MONTH($A$10)))&lt;_xlfn.NUMBERVALUE(CONCATENATE($B$2,MONTH(M$2))),VLOOKUP(Tabela6[[#This Row],[Coluna1]],Planodecontas[],3,FALSE),0), SUMIF(Lançamento!$A$2:$A$67,"="&amp;CONCATENATE(M$10,$A60),Lançamento!$D$2:$D$67))</f>
        <v>0</v>
      </c>
      <c r="N60" s="83">
        <f ca="1">IF(SUMIF(Lançamento!$A$2:$A$67,"="&amp;CONCATENATE(N$10,$A60),Lançamento!$D$2:$D$67) &lt;=0,IF(_xlfn.NUMBERVALUE(CONCATENATE(YEAR($A$10),MONTH($A$10)))&lt;_xlfn.NUMBERVALUE(CONCATENATE($B$2,MONTH(N$2))),VLOOKUP(Tabela6[[#This Row],[Coluna1]],Planodecontas[],3,FALSE),0), SUMIF(Lançamento!$A$2:$A$67,"="&amp;CONCATENATE(N$10,$A60),Lançamento!$D$2:$D$67))</f>
        <v>0</v>
      </c>
      <c r="O60" s="20">
        <f ca="1">SUM(Tabela6[[#This Row],[Coluna3]:[Coluna14]])</f>
        <v>0</v>
      </c>
    </row>
    <row r="61" spans="1:16" x14ac:dyDescent="0.25">
      <c r="A61" s="23" t="s">
        <v>73</v>
      </c>
      <c r="B61" s="24">
        <f>VLOOKUP(A61,Planodecontas[],3,FALSE)</f>
        <v>0</v>
      </c>
      <c r="C61" s="83">
        <f ca="1">IF(SUMIF(Lançamento!$A$2:$A$67,"="&amp;CONCATENATE(C$10,$A61),Lançamento!$D$2:$D$67) &lt;=0,IF(_xlfn.NUMBERVALUE(CONCATENATE(YEAR($A$10),MONTH($A$10)))&lt;_xlfn.NUMBERVALUE(CONCATENATE($B$2,MONTH(C$2))),VLOOKUP(Tabela6[[#This Row],[Coluna1]],Planodecontas[],3,FALSE),0), SUMIF(Lançamento!$A$2:$A$67,"="&amp;CONCATENATE(C$10,$A61),Lançamento!$D$2:$D$67))</f>
        <v>0</v>
      </c>
      <c r="D61" s="83">
        <f ca="1">IF(SUMIF(Lançamento!$A$2:$A$67,"="&amp;CONCATENATE(D$10,$A61),Lançamento!$D$2:$D$67) &lt;=0,IF(_xlfn.NUMBERVALUE(CONCATENATE(YEAR($A$10),MONTH($A$10)))&lt;_xlfn.NUMBERVALUE(CONCATENATE($B$2,MONTH(D$2))),VLOOKUP(Tabela6[[#This Row],[Coluna1]],Planodecontas[],3,FALSE),0), SUMIF(Lançamento!$A$2:$A$67,"="&amp;CONCATENATE(D$10,$A61),Lançamento!$D$2:$D$67))</f>
        <v>0</v>
      </c>
      <c r="E61" s="83">
        <f ca="1">IF(SUMIF(Lançamento!$A$2:$A$67,"="&amp;CONCATENATE(E$10,$A61),Lançamento!$D$2:$D$67) &lt;=0,IF(_xlfn.NUMBERVALUE(CONCATENATE(YEAR($A$10),MONTH($A$10)))&lt;_xlfn.NUMBERVALUE(CONCATENATE($B$2,MONTH(E$2))),VLOOKUP(Tabela6[[#This Row],[Coluna1]],Planodecontas[],3,FALSE),0), SUMIF(Lançamento!$A$2:$A$67,"="&amp;CONCATENATE(E$10,$A61),Lançamento!$D$2:$D$67))</f>
        <v>0</v>
      </c>
      <c r="F61" s="83">
        <f ca="1">IF(SUMIF(Lançamento!$A$2:$A$67,"="&amp;CONCATENATE(F$10,$A61),Lançamento!$D$2:$D$67) &lt;=0,IF(_xlfn.NUMBERVALUE(CONCATENATE(YEAR($A$10),MONTH($A$10)))&lt;_xlfn.NUMBERVALUE(CONCATENATE($B$2,MONTH(F$2))),VLOOKUP(Tabela6[[#This Row],[Coluna1]],Planodecontas[],3,FALSE),0), SUMIF(Lançamento!$A$2:$A$67,"="&amp;CONCATENATE(F$10,$A61),Lançamento!$D$2:$D$67))</f>
        <v>0</v>
      </c>
      <c r="G61" s="83">
        <f ca="1">IF(SUMIF(Lançamento!$A$2:$A$67,"="&amp;CONCATENATE(G$10,$A61),Lançamento!$D$2:$D$67) &lt;=0,IF(_xlfn.NUMBERVALUE(CONCATENATE(YEAR($A$10),MONTH($A$10)))&lt;_xlfn.NUMBERVALUE(CONCATENATE($B$2,MONTH(G$2))),VLOOKUP(Tabela6[[#This Row],[Coluna1]],Planodecontas[],3,FALSE),0), SUMIF(Lançamento!$A$2:$A$67,"="&amp;CONCATENATE(G$10,$A61),Lançamento!$D$2:$D$67))</f>
        <v>0</v>
      </c>
      <c r="H61" s="83">
        <f ca="1">IF(SUMIF(Lançamento!$A$2:$A$67,"="&amp;CONCATENATE(H$10,$A61),Lançamento!$D$2:$D$67) &lt;=0,IF(_xlfn.NUMBERVALUE(CONCATENATE(YEAR($A$10),MONTH($A$10)))&lt;_xlfn.NUMBERVALUE(CONCATENATE($B$2,MONTH(H$2))),VLOOKUP(Tabela6[[#This Row],[Coluna1]],Planodecontas[],3,FALSE),0), SUMIF(Lançamento!$A$2:$A$67,"="&amp;CONCATENATE(H$10,$A61),Lançamento!$D$2:$D$67))</f>
        <v>0</v>
      </c>
      <c r="I61" s="83">
        <f ca="1">IF(SUMIF(Lançamento!$A$2:$A$67,"="&amp;CONCATENATE(I$10,$A61),Lançamento!$D$2:$D$67) &lt;=0,IF(_xlfn.NUMBERVALUE(CONCATENATE(YEAR($A$10),MONTH($A$10)))&lt;_xlfn.NUMBERVALUE(CONCATENATE($B$2,MONTH(I$2))),VLOOKUP(Tabela6[[#This Row],[Coluna1]],Planodecontas[],3,FALSE),0), SUMIF(Lançamento!$A$2:$A$67,"="&amp;CONCATENATE(I$10,$A61),Lançamento!$D$2:$D$67))</f>
        <v>0</v>
      </c>
      <c r="J61" s="83">
        <f ca="1">IF(SUMIF(Lançamento!$A$2:$A$67,"="&amp;CONCATENATE(J$10,$A61),Lançamento!$D$2:$D$67) &lt;=0,IF(_xlfn.NUMBERVALUE(CONCATENATE(YEAR($A$10),MONTH($A$10)))&lt;_xlfn.NUMBERVALUE(CONCATENATE($B$2,MONTH(J$2))),VLOOKUP(Tabela6[[#This Row],[Coluna1]],Planodecontas[],3,FALSE),0), SUMIF(Lançamento!$A$2:$A$67,"="&amp;CONCATENATE(J$10,$A61),Lançamento!$D$2:$D$67))</f>
        <v>0</v>
      </c>
      <c r="K61" s="83">
        <f ca="1">IF(SUMIF(Lançamento!$A$2:$A$67,"="&amp;CONCATENATE(K$10,$A61),Lançamento!$D$2:$D$67) &lt;=0,IF(_xlfn.NUMBERVALUE(CONCATENATE(YEAR($A$10),MONTH($A$10)))&lt;_xlfn.NUMBERVALUE(CONCATENATE($B$2,MONTH(K$2))),VLOOKUP(Tabela6[[#This Row],[Coluna1]],Planodecontas[],3,FALSE),0), SUMIF(Lançamento!$A$2:$A$67,"="&amp;CONCATENATE(K$10,$A61),Lançamento!$D$2:$D$67))</f>
        <v>0</v>
      </c>
      <c r="L61" s="83">
        <f ca="1">IF(SUMIF(Lançamento!$A$2:$A$67,"="&amp;CONCATENATE(L$10,$A61),Lançamento!$D$2:$D$67) &lt;=0,IF(_xlfn.NUMBERVALUE(CONCATENATE(YEAR($A$10),MONTH($A$10)))&lt;_xlfn.NUMBERVALUE(CONCATENATE($B$2,MONTH(L$2))),VLOOKUP(Tabela6[[#This Row],[Coluna1]],Planodecontas[],3,FALSE),0), SUMIF(Lançamento!$A$2:$A$67,"="&amp;CONCATENATE(L$10,$A61),Lançamento!$D$2:$D$67))</f>
        <v>0</v>
      </c>
      <c r="M61" s="83">
        <f ca="1">IF(SUMIF(Lançamento!$A$2:$A$67,"="&amp;CONCATENATE(M$10,$A61),Lançamento!$D$2:$D$67) &lt;=0,IF(_xlfn.NUMBERVALUE(CONCATENATE(YEAR($A$10),MONTH($A$10)))&lt;_xlfn.NUMBERVALUE(CONCATENATE($B$2,MONTH(M$2))),VLOOKUP(Tabela6[[#This Row],[Coluna1]],Planodecontas[],3,FALSE),0), SUMIF(Lançamento!$A$2:$A$67,"="&amp;CONCATENATE(M$10,$A61),Lançamento!$D$2:$D$67))</f>
        <v>0</v>
      </c>
      <c r="N61" s="83">
        <f ca="1">IF(SUMIF(Lançamento!$A$2:$A$67,"="&amp;CONCATENATE(N$10,$A61),Lançamento!$D$2:$D$67) &lt;=0,IF(_xlfn.NUMBERVALUE(CONCATENATE(YEAR($A$10),MONTH($A$10)))&lt;_xlfn.NUMBERVALUE(CONCATENATE($B$2,MONTH(N$2))),VLOOKUP(Tabela6[[#This Row],[Coluna1]],Planodecontas[],3,FALSE),0), SUMIF(Lançamento!$A$2:$A$67,"="&amp;CONCATENATE(N$10,$A61),Lançamento!$D$2:$D$67))</f>
        <v>0</v>
      </c>
      <c r="O61" s="20">
        <f ca="1">SUM(Tabela6[[#This Row],[Coluna3]:[Coluna14]])</f>
        <v>0</v>
      </c>
      <c r="P61" s="25"/>
    </row>
    <row r="62" spans="1:16" x14ac:dyDescent="0.25">
      <c r="A62" s="26" t="s">
        <v>9</v>
      </c>
      <c r="B62" s="27">
        <f t="shared" ref="B62:O62" si="2">SUM(B11:B61)</f>
        <v>4189</v>
      </c>
      <c r="C62" s="28">
        <f t="shared" ca="1" si="2"/>
        <v>7226.39</v>
      </c>
      <c r="D62" s="28">
        <f t="shared" ca="1" si="2"/>
        <v>1105.8800000000001</v>
      </c>
      <c r="E62" s="28">
        <f t="shared" ca="1" si="2"/>
        <v>1105.8800000000001</v>
      </c>
      <c r="F62" s="28">
        <f t="shared" ca="1" si="2"/>
        <v>680</v>
      </c>
      <c r="G62" s="28">
        <f t="shared" ca="1" si="2"/>
        <v>4189</v>
      </c>
      <c r="H62" s="28">
        <f t="shared" ca="1" si="2"/>
        <v>4189</v>
      </c>
      <c r="I62" s="28">
        <f t="shared" ca="1" si="2"/>
        <v>4189</v>
      </c>
      <c r="J62" s="28">
        <f t="shared" ca="1" si="2"/>
        <v>4189</v>
      </c>
      <c r="K62" s="28">
        <f t="shared" ca="1" si="2"/>
        <v>4189</v>
      </c>
      <c r="L62" s="28">
        <f t="shared" ca="1" si="2"/>
        <v>4189</v>
      </c>
      <c r="M62" s="28">
        <f t="shared" ca="1" si="2"/>
        <v>4039</v>
      </c>
      <c r="N62" s="28">
        <f t="shared" ca="1" si="2"/>
        <v>6676.7999999999975</v>
      </c>
      <c r="O62" s="28">
        <f t="shared" ca="1" si="2"/>
        <v>45967.950000000012</v>
      </c>
      <c r="P62" s="25"/>
    </row>
    <row r="63" spans="1:16" ht="18" x14ac:dyDescent="0.25">
      <c r="A63" s="86" t="s">
        <v>12</v>
      </c>
      <c r="B63" s="87"/>
      <c r="C63" s="87"/>
      <c r="D63" s="87"/>
      <c r="E63" s="87"/>
      <c r="F63" s="87"/>
      <c r="G63" s="87"/>
      <c r="H63" s="87"/>
      <c r="I63" s="87"/>
      <c r="J63" s="87"/>
      <c r="K63" s="87"/>
      <c r="L63" s="87"/>
      <c r="M63" s="87"/>
      <c r="N63" s="87"/>
      <c r="O63" s="87"/>
      <c r="P63" s="25"/>
    </row>
    <row r="64" spans="1:16" x14ac:dyDescent="0.25">
      <c r="A64" s="29"/>
      <c r="B64" s="30"/>
      <c r="C64" s="31" t="str">
        <f t="shared" ref="C64:O64" si="3">C10</f>
        <v>1/2017</v>
      </c>
      <c r="D64" s="32" t="str">
        <f>D10</f>
        <v>2/2017</v>
      </c>
      <c r="E64" s="32" t="str">
        <f t="shared" si="3"/>
        <v>3/2017</v>
      </c>
      <c r="F64" s="32" t="str">
        <f t="shared" si="3"/>
        <v>4/2017</v>
      </c>
      <c r="G64" s="33" t="str">
        <f t="shared" si="3"/>
        <v>5/2017</v>
      </c>
      <c r="H64" s="31" t="str">
        <f t="shared" si="3"/>
        <v>6/2017</v>
      </c>
      <c r="I64" s="32" t="str">
        <f t="shared" si="3"/>
        <v>7/2017</v>
      </c>
      <c r="J64" s="32" t="str">
        <f t="shared" si="3"/>
        <v>8/2017</v>
      </c>
      <c r="K64" s="32" t="str">
        <f t="shared" si="3"/>
        <v>9/2017</v>
      </c>
      <c r="L64" s="32" t="str">
        <f t="shared" si="3"/>
        <v>10/2017</v>
      </c>
      <c r="M64" s="32" t="str">
        <f t="shared" si="3"/>
        <v>11/2017</v>
      </c>
      <c r="N64" s="32" t="str">
        <f t="shared" si="3"/>
        <v>12/2017</v>
      </c>
      <c r="O64" s="34" t="str">
        <f t="shared" si="3"/>
        <v>TOTAL</v>
      </c>
      <c r="P64" s="35"/>
    </row>
    <row r="65" spans="1:16" x14ac:dyDescent="0.25">
      <c r="A65" s="36" t="s">
        <v>13</v>
      </c>
      <c r="B65" s="37"/>
      <c r="C65" s="37">
        <f t="shared" ref="C65:N65" ca="1" si="4">C8</f>
        <v>8000</v>
      </c>
      <c r="D65" s="38">
        <f ca="1">D8</f>
        <v>0</v>
      </c>
      <c r="E65" s="38">
        <f t="shared" ca="1" si="4"/>
        <v>0</v>
      </c>
      <c r="F65" s="38">
        <f t="shared" ca="1" si="4"/>
        <v>0</v>
      </c>
      <c r="G65" s="38">
        <f t="shared" ca="1" si="4"/>
        <v>8500</v>
      </c>
      <c r="H65" s="38">
        <f t="shared" ca="1" si="4"/>
        <v>8500</v>
      </c>
      <c r="I65" s="38">
        <f t="shared" ca="1" si="4"/>
        <v>8500</v>
      </c>
      <c r="J65" s="38">
        <f t="shared" ca="1" si="4"/>
        <v>8500</v>
      </c>
      <c r="K65" s="38">
        <f t="shared" ca="1" si="4"/>
        <v>8500</v>
      </c>
      <c r="L65" s="38">
        <f t="shared" ca="1" si="4"/>
        <v>8500</v>
      </c>
      <c r="M65" s="38">
        <f t="shared" ca="1" si="4"/>
        <v>8500</v>
      </c>
      <c r="N65" s="38">
        <f t="shared" ca="1" si="4"/>
        <v>8500</v>
      </c>
      <c r="O65" s="38">
        <f ca="1">SUM(C65:N65)</f>
        <v>76000</v>
      </c>
      <c r="P65" s="25"/>
    </row>
    <row r="66" spans="1:16" x14ac:dyDescent="0.25">
      <c r="A66" s="39" t="s">
        <v>14</v>
      </c>
      <c r="B66" s="40"/>
      <c r="C66" s="40">
        <f ca="1">C62</f>
        <v>7226.39</v>
      </c>
      <c r="D66" s="41">
        <f ca="1">IF(D62=0,$B$62,D62)</f>
        <v>1105.8800000000001</v>
      </c>
      <c r="E66" s="41">
        <f t="shared" ref="E66:M66" ca="1" si="5">IF(E62=0,$B$62,E62)</f>
        <v>1105.8800000000001</v>
      </c>
      <c r="F66" s="41">
        <f t="shared" ca="1" si="5"/>
        <v>680</v>
      </c>
      <c r="G66" s="41">
        <f ca="1">IF(G62=0,$B$62,G62)</f>
        <v>4189</v>
      </c>
      <c r="H66" s="41">
        <f t="shared" ca="1" si="5"/>
        <v>4189</v>
      </c>
      <c r="I66" s="41">
        <f t="shared" ca="1" si="5"/>
        <v>4189</v>
      </c>
      <c r="J66" s="41">
        <f t="shared" ca="1" si="5"/>
        <v>4189</v>
      </c>
      <c r="K66" s="41">
        <f t="shared" ca="1" si="5"/>
        <v>4189</v>
      </c>
      <c r="L66" s="41">
        <f t="shared" ca="1" si="5"/>
        <v>4189</v>
      </c>
      <c r="M66" s="41">
        <f t="shared" ca="1" si="5"/>
        <v>4039</v>
      </c>
      <c r="N66" s="41">
        <f t="shared" ref="N66" ca="1" si="6">IF(N62=0,$B$62,N62)</f>
        <v>6676.7999999999975</v>
      </c>
      <c r="O66" s="42">
        <f ca="1">SUM(C66:N66)</f>
        <v>45967.95</v>
      </c>
      <c r="P66" s="25"/>
    </row>
    <row r="67" spans="1:16" x14ac:dyDescent="0.25">
      <c r="A67" s="43" t="s">
        <v>15</v>
      </c>
      <c r="B67" s="44"/>
      <c r="C67" s="44">
        <f ca="1">C65-C66</f>
        <v>773.60999999999967</v>
      </c>
      <c r="D67" s="45">
        <f ca="1">D65-D66</f>
        <v>-1105.8800000000001</v>
      </c>
      <c r="E67" s="45">
        <f t="shared" ref="E67:M67" ca="1" si="7">E65-E66</f>
        <v>-1105.8800000000001</v>
      </c>
      <c r="F67" s="45">
        <f ca="1">F65-F66</f>
        <v>-680</v>
      </c>
      <c r="G67" s="45">
        <f t="shared" ca="1" si="7"/>
        <v>4311</v>
      </c>
      <c r="H67" s="45">
        <f t="shared" ca="1" si="7"/>
        <v>4311</v>
      </c>
      <c r="I67" s="45">
        <f t="shared" ca="1" si="7"/>
        <v>4311</v>
      </c>
      <c r="J67" s="45">
        <f t="shared" ca="1" si="7"/>
        <v>4311</v>
      </c>
      <c r="K67" s="45">
        <f ca="1">K65-K66</f>
        <v>4311</v>
      </c>
      <c r="L67" s="45">
        <f t="shared" ca="1" si="7"/>
        <v>4311</v>
      </c>
      <c r="M67" s="45">
        <f t="shared" ca="1" si="7"/>
        <v>4461</v>
      </c>
      <c r="N67" s="45">
        <f t="shared" ref="N67" ca="1" si="8">N65-N66</f>
        <v>1823.2000000000025</v>
      </c>
      <c r="O67" s="45">
        <f ca="1">O65-O66</f>
        <v>30032.050000000003</v>
      </c>
      <c r="P67" s="25"/>
    </row>
    <row r="68" spans="1:16" x14ac:dyDescent="0.25">
      <c r="A68" s="39" t="s">
        <v>84</v>
      </c>
      <c r="B68" s="40"/>
      <c r="C68" s="46">
        <v>-11157.38</v>
      </c>
      <c r="D68" s="41">
        <f ca="1">C69</f>
        <v>-10383.77</v>
      </c>
      <c r="E68" s="41">
        <f t="shared" ref="E68" ca="1" si="9">D69</f>
        <v>-11489.650000000001</v>
      </c>
      <c r="F68" s="41">
        <f ca="1">E69</f>
        <v>-12595.530000000002</v>
      </c>
      <c r="G68" s="41">
        <f t="shared" ref="G68" ca="1" si="10">F69</f>
        <v>-13275.530000000002</v>
      </c>
      <c r="H68" s="41">
        <f t="shared" ref="H68" ca="1" si="11">G69</f>
        <v>-8964.5300000000025</v>
      </c>
      <c r="I68" s="41">
        <f t="shared" ref="I68" ca="1" si="12">H69</f>
        <v>-4653.5300000000025</v>
      </c>
      <c r="J68" s="41">
        <f ca="1">I69</f>
        <v>-342.53000000000247</v>
      </c>
      <c r="K68" s="41">
        <f ca="1">J69</f>
        <v>3968.4699999999975</v>
      </c>
      <c r="L68" s="41">
        <f t="shared" ref="L68" ca="1" si="13">K69</f>
        <v>8279.4699999999975</v>
      </c>
      <c r="M68" s="41">
        <f t="shared" ref="M68" ca="1" si="14">L69</f>
        <v>12590.469999999998</v>
      </c>
      <c r="N68" s="41">
        <f ca="1">M69</f>
        <v>17051.469999999998</v>
      </c>
      <c r="O68" s="42">
        <f ca="1">N69</f>
        <v>18874.669999999998</v>
      </c>
      <c r="P68" s="25"/>
    </row>
    <row r="69" spans="1:16" x14ac:dyDescent="0.25">
      <c r="A69" s="43" t="s">
        <v>16</v>
      </c>
      <c r="B69" s="44"/>
      <c r="C69" s="44">
        <f ca="1">C67+C68</f>
        <v>-10383.77</v>
      </c>
      <c r="D69" s="45">
        <f t="shared" ref="D69:M69" ca="1" si="15">D67+D68</f>
        <v>-11489.650000000001</v>
      </c>
      <c r="E69" s="45">
        <f ca="1">E67+E68</f>
        <v>-12595.530000000002</v>
      </c>
      <c r="F69" s="45">
        <f t="shared" ca="1" si="15"/>
        <v>-13275.530000000002</v>
      </c>
      <c r="G69" s="45">
        <f t="shared" ca="1" si="15"/>
        <v>-8964.5300000000025</v>
      </c>
      <c r="H69" s="45">
        <f t="shared" ca="1" si="15"/>
        <v>-4653.5300000000025</v>
      </c>
      <c r="I69" s="45">
        <f t="shared" ca="1" si="15"/>
        <v>-342.53000000000247</v>
      </c>
      <c r="J69" s="45">
        <f t="shared" ca="1" si="15"/>
        <v>3968.4699999999975</v>
      </c>
      <c r="K69" s="45">
        <f t="shared" ca="1" si="15"/>
        <v>8279.4699999999975</v>
      </c>
      <c r="L69" s="45">
        <f t="shared" ca="1" si="15"/>
        <v>12590.469999999998</v>
      </c>
      <c r="M69" s="45">
        <f t="shared" ca="1" si="15"/>
        <v>17051.469999999998</v>
      </c>
      <c r="N69" s="45">
        <f ca="1">N67+N68</f>
        <v>18874.669999999998</v>
      </c>
      <c r="O69" s="45">
        <f ca="1">O65-O66</f>
        <v>30032.050000000003</v>
      </c>
      <c r="P69" s="25"/>
    </row>
    <row r="70" spans="1:16" x14ac:dyDescent="0.25">
      <c r="A70" s="47" t="s">
        <v>87</v>
      </c>
      <c r="B70" s="48"/>
      <c r="C70" s="46"/>
      <c r="D70" s="49">
        <v>0</v>
      </c>
      <c r="E70" s="49">
        <v>0</v>
      </c>
      <c r="F70" s="49">
        <v>0</v>
      </c>
      <c r="G70" s="49">
        <v>0</v>
      </c>
      <c r="H70" s="49">
        <v>0</v>
      </c>
      <c r="I70" s="49">
        <v>0</v>
      </c>
      <c r="J70" s="49">
        <v>0</v>
      </c>
      <c r="K70" s="49">
        <v>0</v>
      </c>
      <c r="L70" s="49">
        <v>0</v>
      </c>
      <c r="M70" s="49">
        <v>0</v>
      </c>
      <c r="N70" s="49">
        <v>0</v>
      </c>
      <c r="O70" s="50">
        <v>0</v>
      </c>
    </row>
    <row r="71" spans="1:16" x14ac:dyDescent="0.25">
      <c r="A71" s="51" t="s">
        <v>85</v>
      </c>
      <c r="B71" s="44"/>
      <c r="C71" s="76">
        <f ca="1">IF(C69&lt;0,ABS(C69)+ABS(C70),IF(C69&lt;C70,C69-C70,0))</f>
        <v>10383.77</v>
      </c>
      <c r="D71" s="75">
        <f t="shared" ref="D71:O71" ca="1" si="16">IF(D69&lt;0,ABS(D69)+ABS(D70),IF(D69&lt;D70,D69-D70,""))</f>
        <v>11489.650000000001</v>
      </c>
      <c r="E71" s="75">
        <f t="shared" ca="1" si="16"/>
        <v>12595.530000000002</v>
      </c>
      <c r="F71" s="75">
        <f t="shared" ca="1" si="16"/>
        <v>13275.530000000002</v>
      </c>
      <c r="G71" s="75">
        <f t="shared" ca="1" si="16"/>
        <v>8964.5300000000025</v>
      </c>
      <c r="H71" s="75">
        <f t="shared" ca="1" si="16"/>
        <v>4653.5300000000025</v>
      </c>
      <c r="I71" s="75">
        <f t="shared" ca="1" si="16"/>
        <v>342.53000000000247</v>
      </c>
      <c r="J71" s="75" t="str">
        <f t="shared" ca="1" si="16"/>
        <v/>
      </c>
      <c r="K71" s="75" t="str">
        <f t="shared" ca="1" si="16"/>
        <v/>
      </c>
      <c r="L71" s="75" t="str">
        <f t="shared" ca="1" si="16"/>
        <v/>
      </c>
      <c r="M71" s="75" t="str">
        <f t="shared" ca="1" si="16"/>
        <v/>
      </c>
      <c r="N71" s="75" t="str">
        <f t="shared" ca="1" si="16"/>
        <v/>
      </c>
      <c r="O71" s="75" t="str">
        <f t="shared" ca="1" si="16"/>
        <v/>
      </c>
    </row>
    <row r="72" spans="1:16" x14ac:dyDescent="0.25">
      <c r="A72" s="52" t="s">
        <v>86</v>
      </c>
      <c r="B72" s="40"/>
      <c r="C72" s="77" t="str">
        <f t="shared" ref="C72:O72" ca="1" si="17">IF(C69&gt;0,IF(C69&gt;C70,C69-C70,""),"")</f>
        <v/>
      </c>
      <c r="D72" s="41" t="str">
        <f t="shared" ca="1" si="17"/>
        <v/>
      </c>
      <c r="E72" s="41" t="str">
        <f t="shared" ca="1" si="17"/>
        <v/>
      </c>
      <c r="F72" s="41" t="str">
        <f t="shared" ca="1" si="17"/>
        <v/>
      </c>
      <c r="G72" s="41" t="str">
        <f t="shared" ca="1" si="17"/>
        <v/>
      </c>
      <c r="H72" s="41" t="str">
        <f t="shared" ca="1" si="17"/>
        <v/>
      </c>
      <c r="I72" s="41" t="str">
        <f t="shared" ca="1" si="17"/>
        <v/>
      </c>
      <c r="J72" s="41">
        <f t="shared" ca="1" si="17"/>
        <v>3968.4699999999975</v>
      </c>
      <c r="K72" s="41">
        <f t="shared" ca="1" si="17"/>
        <v>8279.4699999999975</v>
      </c>
      <c r="L72" s="41">
        <f t="shared" ca="1" si="17"/>
        <v>12590.469999999998</v>
      </c>
      <c r="M72" s="41">
        <f t="shared" ca="1" si="17"/>
        <v>17051.469999999998</v>
      </c>
      <c r="N72" s="41">
        <f t="shared" ca="1" si="17"/>
        <v>18874.669999999998</v>
      </c>
      <c r="O72" s="41">
        <f t="shared" ca="1" si="17"/>
        <v>30032.050000000003</v>
      </c>
    </row>
  </sheetData>
  <mergeCells count="3">
    <mergeCell ref="A1:O1"/>
    <mergeCell ref="A9:O9"/>
    <mergeCell ref="A63:O63"/>
  </mergeCells>
  <conditionalFormatting sqref="C3">
    <cfRule type="expression" dxfId="101" priority="41">
      <formula>IF(_xlfn.NUMBERVALUE(CONCATENATE(YEAR($A$10),MONTH($A$10)))&lt;_xlfn.NUMBERVALUE(CONCATENATE($B$2,"1")),TRUE,FALSE)</formula>
    </cfRule>
  </conditionalFormatting>
  <conditionalFormatting sqref="D4:D7">
    <cfRule type="expression" dxfId="100" priority="34">
      <formula>IF(_xlfn.NUMBERVALUE(CONCATENATE(YEAR($A$10),MONTH($A$10)))&lt;_xlfn.NUMBERVALUE(CONCATENATE($B$2,"1")),TRUE,FALSE)</formula>
    </cfRule>
  </conditionalFormatting>
  <conditionalFormatting sqref="C4:C7">
    <cfRule type="expression" dxfId="99" priority="32">
      <formula>IF(_xlfn.NUMBERVALUE(CONCATENATE(YEAR($A$10),MONTH($A$10)))&lt;_xlfn.NUMBERVALUE(CONCATENATE($B$2,"1")),TRUE,FALSE)</formula>
    </cfRule>
  </conditionalFormatting>
  <conditionalFormatting sqref="D3">
    <cfRule type="expression" dxfId="98" priority="31">
      <formula>IF(_xlfn.NUMBERVALUE(CONCATENATE(YEAR($A$10),MONTH($A$10)))&lt;_xlfn.NUMBERVALUE(CONCATENATE($B$2,"1")),TRUE,FALSE)</formula>
    </cfRule>
  </conditionalFormatting>
  <conditionalFormatting sqref="E4:N7">
    <cfRule type="expression" dxfId="97" priority="30">
      <formula>IF(_xlfn.NUMBERVALUE(CONCATENATE(YEAR($A$10),MONTH($A$10)))&lt;_xlfn.NUMBERVALUE(CONCATENATE($B$2,"1")),TRUE,FALSE)</formula>
    </cfRule>
  </conditionalFormatting>
  <conditionalFormatting sqref="E3:N3">
    <cfRule type="expression" dxfId="96" priority="29">
      <formula>IF(_xlfn.NUMBERVALUE(CONCATENATE(YEAR($A$10),MONTH($A$10)))&lt;_xlfn.NUMBERVALUE(CONCATENATE($B$2,"1")),TRUE,FALSE)</formula>
    </cfRule>
  </conditionalFormatting>
  <conditionalFormatting sqref="C11:C61">
    <cfRule type="expression" dxfId="95" priority="13">
      <formula>IF(_xlfn.NUMBERVALUE(CONCATENATE(YEAR($A$10),MONTH($A$10)))&lt;_xlfn.NUMBERVALUE(CONCATENATE($B$2,MONTH($C$10))),TRUE,FALSE)</formula>
    </cfRule>
  </conditionalFormatting>
  <conditionalFormatting sqref="D11:D61">
    <cfRule type="expression" dxfId="94" priority="11">
      <formula>IF(_xlfn.NUMBERVALUE(CONCATENATE(YEAR($A$10),MONTH($A$10)))&lt;_xlfn.NUMBERVALUE(CONCATENATE($B$2,"2")),TRUE,FALSE)</formula>
    </cfRule>
  </conditionalFormatting>
  <conditionalFormatting sqref="E11:E61">
    <cfRule type="expression" dxfId="93" priority="10">
      <formula>IF(_xlfn.NUMBERVALUE(CONCATENATE(YEAR($A$10),MONTH($A$10)))&lt;_xlfn.NUMBERVALUE(CONCATENATE($B$2,"3")),TRUE,FALSE)</formula>
    </cfRule>
  </conditionalFormatting>
  <conditionalFormatting sqref="F11:F61">
    <cfRule type="expression" dxfId="92" priority="9">
      <formula>IF(_xlfn.NUMBERVALUE(CONCATENATE(YEAR($A$10),MONTH($A$10)))&lt;_xlfn.NUMBERVALUE(CONCATENATE($B$2,"4")),TRUE,FALSE)</formula>
    </cfRule>
  </conditionalFormatting>
  <conditionalFormatting sqref="G11:G61">
    <cfRule type="expression" dxfId="91" priority="8">
      <formula>IF(_xlfn.NUMBERVALUE(CONCATENATE(YEAR($A$10),MONTH($A$10)))&lt;_xlfn.NUMBERVALUE(CONCATENATE($B$2,"5")),TRUE,FALSE)</formula>
    </cfRule>
  </conditionalFormatting>
  <conditionalFormatting sqref="H11:H61">
    <cfRule type="expression" dxfId="90" priority="7">
      <formula>IF(_xlfn.NUMBERVALUE(CONCATENATE(YEAR($A$10),MONTH($A$10)))&lt;_xlfn.NUMBERVALUE(CONCATENATE($B$2,"6")),TRUE,FALSE)</formula>
    </cfRule>
  </conditionalFormatting>
  <conditionalFormatting sqref="I11:I61">
    <cfRule type="expression" dxfId="89" priority="6">
      <formula>IF(_xlfn.NUMBERVALUE(CONCATENATE(YEAR($A$10),MONTH($A$10)))&lt;_xlfn.NUMBERVALUE(CONCATENATE($B$2,"7")),TRUE,FALSE)</formula>
    </cfRule>
  </conditionalFormatting>
  <conditionalFormatting sqref="J11:J61">
    <cfRule type="expression" dxfId="88" priority="5">
      <formula>IF(_xlfn.NUMBERVALUE(CONCATENATE(YEAR($A$10),MONTH($A$10)))&lt;_xlfn.NUMBERVALUE(CONCATENATE($B$2,"8")),TRUE,FALSE)</formula>
    </cfRule>
  </conditionalFormatting>
  <conditionalFormatting sqref="K11:K61">
    <cfRule type="expression" dxfId="87" priority="4">
      <formula>IF(_xlfn.NUMBERVALUE(CONCATENATE(YEAR($A$10),MONTH($A$10)))&lt;_xlfn.NUMBERVALUE(CONCATENATE($B$2,"9")),TRUE,FALSE)</formula>
    </cfRule>
  </conditionalFormatting>
  <conditionalFormatting sqref="L11:L61">
    <cfRule type="expression" dxfId="86" priority="3">
      <formula>IF(_xlfn.NUMBERVALUE(CONCATENATE(YEAR($A$10),MONTH($A$10)))&lt;_xlfn.NUMBERVALUE(CONCATENATE($B$2,"10")),TRUE,FALSE)</formula>
    </cfRule>
  </conditionalFormatting>
  <conditionalFormatting sqref="M11:M61">
    <cfRule type="expression" dxfId="85" priority="2">
      <formula>IF(_xlfn.NUMBERVALUE(CONCATENATE(YEAR($A$10),MONTH($A$10)))&lt;_xlfn.NUMBERVALUE(CONCATENATE($B$2,"11")),TRUE,FALSE)</formula>
    </cfRule>
  </conditionalFormatting>
  <conditionalFormatting sqref="N11:N61">
    <cfRule type="expression" dxfId="84" priority="1">
      <formula>IF(_xlfn.NUMBERVALUE(CONCATENATE(YEAR($A$10),MONTH($A$10)))&lt;_xlfn.NUMBERVALUE(CONCATENATE($B$2,"12")),TRUE,FALSE)</formula>
    </cfRule>
  </conditionalFormatting>
  <pageMargins left="0.511811024" right="0.511811024" top="0.78740157499999996" bottom="0.78740157499999996" header="0.31496062000000002" footer="0.31496062000000002"/>
  <pageSetup paperSize="9" orientation="portrait" r:id="rId1"/>
  <ignoredErrors>
    <ignoredError sqref="A11:B11 A35:B37 A30:B30 A25:B29 A31:B33 A53:B55 A38:B44 A62:O63 A57:B59 A15:B16 A14:B14 A18:B24 A17:B17 O17 A12:B13 O12:O13 O34:O37 O30 O25:O29 O31:O33 O53:O56 O38:O39 O41:O48 O40 O50:O52 O49 A60:B61 O60:O61 O57:O59 O15:O16 O14 O18:O24 B56 A50:B52 B45 B46 B47:B49 B34 C8" calculatedColumn="1"/>
    <ignoredError sqref="B6" evalError="1"/>
  </ignoredErrors>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A10" sqref="A10"/>
    </sheetView>
  </sheetViews>
  <sheetFormatPr defaultRowHeight="15" x14ac:dyDescent="0.25"/>
  <cols>
    <col min="1" max="1" width="21.7109375" style="54" customWidth="1"/>
    <col min="2" max="2" width="13.85546875" style="54" customWidth="1"/>
    <col min="3" max="9" width="9.140625" style="54"/>
    <col min="10" max="10" width="4.85546875" style="54" customWidth="1"/>
    <col min="11" max="11" width="19.85546875" style="54" bestFit="1" customWidth="1"/>
    <col min="12" max="12" width="15.140625" style="54" customWidth="1"/>
    <col min="13" max="16384" width="9.140625" style="54"/>
  </cols>
  <sheetData>
    <row r="1" spans="1:13" x14ac:dyDescent="0.25">
      <c r="A1" s="54" t="s">
        <v>96</v>
      </c>
    </row>
    <row r="3" spans="1:13" x14ac:dyDescent="0.25">
      <c r="A3" s="55" t="s">
        <v>4</v>
      </c>
      <c r="B3" s="54" t="s">
        <v>105</v>
      </c>
      <c r="K3" s="80" t="s">
        <v>4</v>
      </c>
      <c r="L3" t="s">
        <v>24</v>
      </c>
      <c r="M3"/>
    </row>
    <row r="4" spans="1:13" x14ac:dyDescent="0.25">
      <c r="A4" s="55" t="s">
        <v>94</v>
      </c>
      <c r="B4" s="54" t="s">
        <v>24</v>
      </c>
      <c r="K4" s="80" t="s">
        <v>94</v>
      </c>
      <c r="L4" t="s">
        <v>24</v>
      </c>
      <c r="M4"/>
    </row>
    <row r="5" spans="1:13" x14ac:dyDescent="0.25">
      <c r="K5" s="80" t="s">
        <v>5</v>
      </c>
      <c r="L5" t="s">
        <v>95</v>
      </c>
      <c r="M5"/>
    </row>
    <row r="6" spans="1:13" x14ac:dyDescent="0.25">
      <c r="A6" s="55" t="s">
        <v>18</v>
      </c>
      <c r="B6" s="54" t="s">
        <v>21</v>
      </c>
      <c r="K6"/>
      <c r="L6"/>
      <c r="M6"/>
    </row>
    <row r="7" spans="1:13" x14ac:dyDescent="0.25">
      <c r="A7" s="56" t="s">
        <v>0</v>
      </c>
      <c r="B7" s="57">
        <v>6120.51</v>
      </c>
      <c r="K7" s="80" t="s">
        <v>18</v>
      </c>
      <c r="L7" t="s">
        <v>21</v>
      </c>
      <c r="M7"/>
    </row>
    <row r="8" spans="1:13" x14ac:dyDescent="0.25">
      <c r="A8" s="56" t="s">
        <v>43</v>
      </c>
      <c r="B8" s="57">
        <v>1105.8800000000001</v>
      </c>
      <c r="K8" s="81" t="s">
        <v>83</v>
      </c>
      <c r="L8" s="82">
        <v>14184.319999999996</v>
      </c>
      <c r="M8"/>
    </row>
    <row r="9" spans="1:13" x14ac:dyDescent="0.25">
      <c r="A9" s="56" t="s">
        <v>57</v>
      </c>
      <c r="B9" s="57">
        <v>0</v>
      </c>
      <c r="K9" s="81" t="s">
        <v>92</v>
      </c>
      <c r="L9" s="82">
        <v>631.6</v>
      </c>
      <c r="M9"/>
    </row>
    <row r="10" spans="1:13" x14ac:dyDescent="0.25">
      <c r="A10" s="56" t="s">
        <v>19</v>
      </c>
      <c r="B10" s="57">
        <v>7226.39</v>
      </c>
      <c r="K10" s="81" t="s">
        <v>104</v>
      </c>
      <c r="L10" s="82"/>
      <c r="M10"/>
    </row>
    <row r="11" spans="1:13" x14ac:dyDescent="0.25">
      <c r="A11"/>
      <c r="B11"/>
      <c r="K11" s="81" t="s">
        <v>19</v>
      </c>
      <c r="L11" s="82">
        <v>14815.919999999996</v>
      </c>
      <c r="M11"/>
    </row>
    <row r="12" spans="1:13" x14ac:dyDescent="0.25">
      <c r="A12"/>
      <c r="B12"/>
      <c r="K12"/>
      <c r="L12"/>
      <c r="M12"/>
    </row>
    <row r="13" spans="1:13" x14ac:dyDescent="0.25">
      <c r="A13"/>
      <c r="B13"/>
      <c r="K13"/>
      <c r="L13"/>
      <c r="M13"/>
    </row>
    <row r="14" spans="1:13" x14ac:dyDescent="0.25">
      <c r="A14"/>
      <c r="B14"/>
      <c r="K14"/>
      <c r="L14"/>
      <c r="M14"/>
    </row>
    <row r="15" spans="1:13" x14ac:dyDescent="0.25">
      <c r="A15"/>
      <c r="B15"/>
      <c r="K15"/>
      <c r="L15"/>
      <c r="M15"/>
    </row>
    <row r="16" spans="1:13" x14ac:dyDescent="0.25">
      <c r="K16"/>
      <c r="L16"/>
      <c r="M16"/>
    </row>
    <row r="17" spans="11:13" x14ac:dyDescent="0.25">
      <c r="K17"/>
      <c r="L17"/>
      <c r="M17"/>
    </row>
    <row r="18" spans="11:13" x14ac:dyDescent="0.25">
      <c r="K18"/>
      <c r="L18"/>
      <c r="M18"/>
    </row>
    <row r="19" spans="11:13" x14ac:dyDescent="0.25">
      <c r="K19"/>
      <c r="L19"/>
      <c r="M19"/>
    </row>
    <row r="20" spans="11:13" x14ac:dyDescent="0.25">
      <c r="K20"/>
      <c r="L20"/>
      <c r="M20"/>
    </row>
  </sheetData>
  <pageMargins left="0.511811024" right="0.511811024" top="0.78740157499999996" bottom="0.78740157499999996" header="0.31496062000000002" footer="0.3149606200000000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1</vt:i4>
      </vt:variant>
    </vt:vector>
  </HeadingPairs>
  <TitlesOfParts>
    <vt:vector size="6" baseType="lpstr">
      <vt:lpstr>Instruções</vt:lpstr>
      <vt:lpstr>PlanoDeContas</vt:lpstr>
      <vt:lpstr>Lançamento</vt:lpstr>
      <vt:lpstr>Orçamento</vt:lpstr>
      <vt:lpstr>Painel</vt:lpstr>
      <vt:lpstr>lancamentovalor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Edson Luiz Saviski Junior</dc:creator>
  <cp:lastModifiedBy>Edson</cp:lastModifiedBy>
  <dcterms:created xsi:type="dcterms:W3CDTF">2012-04-25T18:26:09Z</dcterms:created>
  <dcterms:modified xsi:type="dcterms:W3CDTF">2017-04-27T16:34:21Z</dcterms:modified>
  <cp:contentStatus/>
</cp:coreProperties>
</file>